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drawings/drawing7.xml" ContentType="application/vnd.openxmlformats-officedocument.drawing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8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drawings/drawing9.xml" ContentType="application/vnd.openxmlformats-officedocument.drawing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10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drawings/drawing11.xml" ContentType="application/vnd.openxmlformats-officedocument.drawing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12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drawings/drawing13.xml" ContentType="application/vnd.openxmlformats-officedocument.drawing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14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omments4.xml" ContentType="application/vnd.openxmlformats-officedocument.spreadsheetml.comments+xml"/>
  <Override PartName="/xl/drawings/drawing15.xml" ContentType="application/vnd.openxmlformats-officedocument.drawing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16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drawings/drawing17.xml" ContentType="application/vnd.openxmlformats-officedocument.drawing+xml"/>
  <Override PartName="/xl/ctrlProps/ctrlProp60.xml" ContentType="application/vnd.ms-excel.controlproperties+xml"/>
  <Override PartName="/xl/ctrlProps/ctrlProp61.xml" ContentType="application/vnd.ms-excel.controlproperties+xml"/>
  <Override PartName="/xl/drawings/drawing18.xml" ContentType="application/vnd.openxmlformats-officedocument.drawing+xml"/>
  <Override PartName="/xl/ctrlProps/ctrlProp62.xml" ContentType="application/vnd.ms-excel.controlproperties+xml"/>
  <Override PartName="/xl/ctrlProps/ctrlProp63.xml" ContentType="application/vnd.ms-excel.controlproperties+xml"/>
  <Override PartName="/xl/drawings/drawing19.xml" ContentType="application/vnd.openxmlformats-officedocument.drawing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20.xml" ContentType="application/vnd.openxmlformats-officedocument.drawing+xml"/>
  <Override PartName="/xl/ctrlProps/ctrlProp66.xml" ContentType="application/vnd.ms-excel.controlproperties+xml"/>
  <Override PartName="/xl/ctrlProps/ctrlProp67.xml" ContentType="application/vnd.ms-excel.controlproperties+xml"/>
  <Override PartName="/xl/drawings/drawing21.xml" ContentType="application/vnd.openxmlformats-officedocument.drawing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drawings/drawing22.xml" ContentType="application/vnd.openxmlformats-officedocument.drawing+xml"/>
  <Override PartName="/xl/ctrlProps/ctrlProp80.xml" ContentType="application/vnd.ms-excel.controlproperties+xml"/>
  <Override PartName="/xl/ctrlProps/ctrlProp81.xml" ContentType="application/vnd.ms-excel.controlproperties+xml"/>
  <Override PartName="/xl/drawings/drawing23.xml" ContentType="application/vnd.openxmlformats-officedocument.drawing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24.xml" ContentType="application/vnd.openxmlformats-officedocument.drawing+xml"/>
  <Override PartName="/xl/ctrlProps/ctrlProp84.xml" ContentType="application/vnd.ms-excel.controlproperties+xml"/>
  <Override PartName="/xl/ctrlProps/ctrlProp85.xml" ContentType="application/vnd.ms-excel.controlproperties+xml"/>
  <Override PartName="/xl/drawings/drawing25.xml" ContentType="application/vnd.openxmlformats-officedocument.drawing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drawings/drawing26.xml" ContentType="application/vnd.openxmlformats-officedocument.drawing+xml"/>
  <Override PartName="/xl/ctrlProps/ctrlProp92.xml" ContentType="application/vnd.ms-excel.controlproperties+xml"/>
  <Override PartName="/xl/ctrlProps/ctrlProp9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9"/>
  <workbookPr codeName="ThisWorkbook"/>
  <mc:AlternateContent xmlns:mc="http://schemas.openxmlformats.org/markup-compatibility/2006">
    <mc:Choice Requires="x15">
      <x15ac:absPath xmlns:x15ac="http://schemas.microsoft.com/office/spreadsheetml/2010/11/ac" url="D:\working\waccache\SE1PEPF0000CD68\EXCELCNV\1d088c57-b929-4d89-b6eb-604b82edabc4\"/>
    </mc:Choice>
  </mc:AlternateContent>
  <xr:revisionPtr revIDLastSave="0" documentId="8_{C1953301-486B-43BF-81DB-B74E60A77477}" xr6:coauthVersionLast="47" xr6:coauthVersionMax="47" xr10:uidLastSave="{00000000-0000-0000-0000-000000000000}"/>
  <bookViews>
    <workbookView xWindow="-60" yWindow="-60" windowWidth="15480" windowHeight="11640" tabRatio="959" firstSheet="1" activeTab="1" xr2:uid="{04575BC0-890A-4BF8-8868-3C8F9E009454}"/>
  </bookViews>
  <sheets>
    <sheet name="Navigation" sheetId="2" r:id="rId1"/>
    <sheet name="RBC" sheetId="3" r:id="rId2"/>
    <sheet name="Others" sheetId="4" r:id="rId3"/>
    <sheet name="UPC" sheetId="30" r:id="rId4"/>
    <sheet name="Data" sheetId="1" state="hidden" r:id="rId5"/>
    <sheet name="trial balance" sheetId="9" r:id="rId6"/>
    <sheet name="SL" sheetId="5" r:id="rId7"/>
    <sheet name="Reference" sheetId="6" state="hidden" r:id="rId8"/>
    <sheet name="Financial Statements" sheetId="7" r:id="rId9"/>
    <sheet name="MS-25%" sheetId="12" r:id="rId10"/>
    <sheet name="MS-Others" sheetId="13" r:id="rId11"/>
    <sheet name="Core Equity" sheetId="8" r:id="rId12"/>
    <sheet name="Cash in Bank" sheetId="10" r:id="rId13"/>
    <sheet name="Placement" sheetId="11" r:id="rId14"/>
    <sheet name="Receivables" sheetId="14" r:id="rId15"/>
    <sheet name="Schedule 4_Security Valuation-C" sheetId="15" state="hidden" r:id="rId16"/>
    <sheet name="Schedule 4_Security Valuation-B" sheetId="16" state="hidden" r:id="rId17"/>
    <sheet name="ORR" sheetId="17" r:id="rId18"/>
    <sheet name="CRR" sheetId="18" r:id="rId19"/>
    <sheet name="PRR" sheetId="19" r:id="rId20"/>
    <sheet name="LERR-CLIENT" sheetId="20" r:id="rId21"/>
    <sheet name="LERR-ISSUER" sheetId="21" r:id="rId22"/>
    <sheet name="LERR-DEBT" sheetId="22" r:id="rId23"/>
    <sheet name="Recon" sheetId="23" state="hidden" r:id="rId24"/>
    <sheet name="Reserve Formula" sheetId="25" r:id="rId25"/>
    <sheet name="reserve formula-detailed" sheetId="24" r:id="rId26"/>
    <sheet name="FINOP" sheetId="26" state="hidden" r:id="rId27"/>
    <sheet name="Sheet1" sheetId="27" state="hidden" r:id="rId28"/>
  </sheets>
  <externalReferences>
    <externalReference r:id="rId29"/>
    <externalReference r:id="rId30"/>
    <externalReference r:id="rId31"/>
  </externalReferences>
  <definedNames>
    <definedName name="_MS1">[1]COVER!#REF!</definedName>
    <definedName name="_MS2">[1]COVER!#REF!</definedName>
    <definedName name="_MS3">[1]COVER!#REF!</definedName>
    <definedName name="_MS4">[1]COVER!#REF!</definedName>
    <definedName name="_MS5">[1]COVER!#REF!</definedName>
    <definedName name="_SCH1">[1]COVER!#REF!</definedName>
    <definedName name="_SCH10">[1]COVER!#REF!</definedName>
    <definedName name="_SCH15">[1]COVER!#REF!</definedName>
    <definedName name="_SCH2">[1]COVER!#REF!</definedName>
    <definedName name="_SCH3">[1]COVER!#REF!</definedName>
    <definedName name="_SCH4">[1]COVER!#REF!</definedName>
    <definedName name="_SCH5">[1]COVER!#REF!</definedName>
    <definedName name="_SCH6">[1]COVER!#REF!</definedName>
    <definedName name="_SCH7">[1]COVER!#REF!</definedName>
    <definedName name="_SCH8">[1]COVER!#REF!</definedName>
    <definedName name="_SCH9">[1]COVER!#REF!</definedName>
    <definedName name="_SEC1">[1]COVER!#REF!</definedName>
    <definedName name="_SEC2">[1]COVER!#REF!</definedName>
    <definedName name="Asset">[2]SORTED!$A$6:$B$34</definedName>
    <definedName name="DATA">#REF!</definedName>
    <definedName name="ECNI">#REF!</definedName>
    <definedName name="EEI">#REF!</definedName>
    <definedName name="EFLTD">#REF!</definedName>
    <definedName name="FINOP">[1]COVER!#REF!</definedName>
    <definedName name="FINOP49">[1]COVER!#REF!</definedName>
    <definedName name="FINOPDEC2003">[1]COVER!#REF!</definedName>
    <definedName name="form49">[1]COVER!#REF!</definedName>
    <definedName name="INSBROK">#REF!</definedName>
    <definedName name="JAN">#REF!</definedName>
    <definedName name="JULY">#REF!</definedName>
    <definedName name="Liab">[2]SORTED!$A$41:$B$85</definedName>
    <definedName name="Liab1">[3]SORTED!$A$41:$B$85</definedName>
    <definedName name="Loan">Others!$F$92:$F$101</definedName>
    <definedName name="MarketableSecurities">[1]COVER!#REF!</definedName>
    <definedName name="MARKSEC2">[1]COVER!#REF!</definedName>
    <definedName name="marksec3">[1]COVER!#REF!</definedName>
    <definedName name="ms">[1]COVER!#REF!</definedName>
    <definedName name="NetBookValue">Others!$E$92:$E$101</definedName>
    <definedName name="OP">[1]COVER!#REF!</definedName>
    <definedName name="PAGE1">#REF!</definedName>
    <definedName name="PAGE2">#REF!</definedName>
    <definedName name="PRF">Data!$B$19:$C$21</definedName>
    <definedName name="_xlnm.Print_Area" localSheetId="11">'Core Equity'!$B$1:$F$24</definedName>
    <definedName name="_xlnm.Print_Area" localSheetId="18">CRR!$A$1:$I$26</definedName>
    <definedName name="_xlnm.Print_Area" localSheetId="8">'Financial Statements'!$A$1:$J$164</definedName>
    <definedName name="_xlnm.Print_Area" localSheetId="26">FINOP!$A$1:$J$56</definedName>
    <definedName name="_xlnm.Print_Area" localSheetId="20">'LERR-CLIENT'!$A$1:$G$27</definedName>
    <definedName name="_xlnm.Print_Area" localSheetId="21">'LERR-ISSUER'!$A$1:$N$22</definedName>
    <definedName name="_xlnm.Print_Area" localSheetId="2">Others!$A$9:$H$163</definedName>
    <definedName name="_xlnm.Print_Area" localSheetId="1">RBC!$A$1:$C$70</definedName>
    <definedName name="_xlnm.Print_Area" localSheetId="7">Reference!$A$1:$K$41</definedName>
    <definedName name="_xlnm.Print_Area" localSheetId="24">'Reserve Formula'!$A$1:$C$24</definedName>
    <definedName name="_xlnm.Print_Area" localSheetId="25">'reserve formula-detailed'!$A$1:$K$153</definedName>
    <definedName name="_xlnm.Print_Area" localSheetId="6">SL!$A$1:$Q$25</definedName>
    <definedName name="_xlnm.Print_Area" localSheetId="5">'trial balance'!$A$1:$C$206</definedName>
    <definedName name="_xlnm.Print_Area" localSheetId="3">UPC!$B$1:$F$29</definedName>
    <definedName name="_xlnm.Print_Titles" localSheetId="8">'Financial Statements'!$1:$9</definedName>
    <definedName name="_xlnm.Print_Titles" localSheetId="10">'MS-Others'!$6:$7</definedName>
    <definedName name="_xlnm.Print_Titles" localSheetId="5">'trial balance'!$6:$6</definedName>
    <definedName name="SAVINGS">#REF!</definedName>
    <definedName name="SCCP">[1]COVER!#REF!</definedName>
    <definedName name="SCHEDULE">[1]COVER!#REF!</definedName>
    <definedName name="SEC">[1]COVER!#REF!</definedName>
    <definedName name="SECFINOP">[1]COVER!#REF!</definedName>
    <definedName name="SECFINOP49">[1]COVER!#REF!</definedName>
    <definedName name="SECFORM">[1]COVER!#REF!</definedName>
    <definedName name="SECFORM24FINOP">[1]COVER!#REF!</definedName>
    <definedName name="SECFORM49FINOP">[1]COVER!#REF!</definedName>
    <definedName name="SECFORM49FINOPB">[1]COVER!#REF!</definedName>
    <definedName name="SECFORM49FINOPC">[1]COVER!#REF!</definedName>
    <definedName name="SECFORM49FINOPD">[1]COVER!#REF!</definedName>
    <definedName name="SLHaircut">Data!$B$7:$D$11</definedName>
    <definedName name="SUBSIDIARY">#REF!</definedName>
    <definedName name="TOTAL">#REF!</definedName>
    <definedName name="Z_504CC784_4394_4648_B9CE_DFC32001696E_.wvu.Cols" localSheetId="21" hidden="1">'LERR-ISSUER'!$R:$R</definedName>
    <definedName name="Z_504CC784_4394_4648_B9CE_DFC32001696E_.wvu.Cols" localSheetId="9" hidden="1">'MS-25%'!$D:$D</definedName>
    <definedName name="Z_504CC784_4394_4648_B9CE_DFC32001696E_.wvu.Cols" localSheetId="10" hidden="1">'MS-Others'!$D:$D</definedName>
    <definedName name="Z_504CC784_4394_4648_B9CE_DFC32001696E_.wvu.PrintArea" localSheetId="11" hidden="1">'Core Equity'!$B$1:$F$24</definedName>
    <definedName name="Z_504CC784_4394_4648_B9CE_DFC32001696E_.wvu.PrintArea" localSheetId="18" hidden="1">CRR!$A$1:$I$26</definedName>
    <definedName name="Z_504CC784_4394_4648_B9CE_DFC32001696E_.wvu.PrintArea" localSheetId="8" hidden="1">'Financial Statements'!$A$1:$J$166</definedName>
    <definedName name="Z_504CC784_4394_4648_B9CE_DFC32001696E_.wvu.PrintArea" localSheetId="26" hidden="1">FINOP!$A$1:$J$56</definedName>
    <definedName name="Z_504CC784_4394_4648_B9CE_DFC32001696E_.wvu.PrintArea" localSheetId="1" hidden="1">RBC!$A$1:$C$68</definedName>
    <definedName name="Z_504CC784_4394_4648_B9CE_DFC32001696E_.wvu.PrintArea" localSheetId="7" hidden="1">Reference!$A$1:$K$41</definedName>
    <definedName name="Z_504CC784_4394_4648_B9CE_DFC32001696E_.wvu.PrintArea" localSheetId="24" hidden="1">'Reserve Formula'!$A$1:$C$24</definedName>
    <definedName name="Z_504CC784_4394_4648_B9CE_DFC32001696E_.wvu.PrintArea" localSheetId="6" hidden="1">SL!$A$1:$Q$30</definedName>
    <definedName name="Z_504CC784_4394_4648_B9CE_DFC32001696E_.wvu.PrintArea" localSheetId="5" hidden="1">'trial balance'!$A$1:$C$206</definedName>
    <definedName name="Z_504CC784_4394_4648_B9CE_DFC32001696E_.wvu.PrintArea" localSheetId="3" hidden="1">UPC!$B$1:$F$29</definedName>
    <definedName name="Z_504CC784_4394_4648_B9CE_DFC32001696E_.wvu.PrintTitles" localSheetId="10" hidden="1">'MS-Others'!$6:$7</definedName>
    <definedName name="Z_504CC784_4394_4648_B9CE_DFC32001696E_.wvu.PrintTitles" localSheetId="5" hidden="1">'trial balance'!$6:$6</definedName>
    <definedName name="Z_504CC784_4394_4648_B9CE_DFC32001696E_.wvu.Rows" localSheetId="8" hidden="1">'Financial Statements'!#REF!</definedName>
    <definedName name="Z_504CC784_4394_4648_B9CE_DFC32001696E_.wvu.Rows" localSheetId="5" hidden="1">'trial balance'!$7:$7,'trial balance'!$12:$12,'trial balance'!$14:$14,'trial balance'!$18:$18,'trial balance'!#REF!,'trial balance'!#REF!,'trial balance'!$78:$78,'trial balance'!#REF!,'trial balance'!$145:$145</definedName>
  </definedNames>
  <calcPr calcId="191028"/>
  <customWorkbookViews>
    <customWorkbookView name="BDD - Personal View" guid="{504CC784-4394-4648-B9CE-DFC32001696E}" mergeInterval="0" personalView="1" maximized="1" windowWidth="1011" windowHeight="561" tabRatio="674" activeSheetId="2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4" i="7" l="1"/>
  <c r="I101" i="7"/>
  <c r="G142" i="4"/>
  <c r="B10" i="30"/>
  <c r="E18" i="14"/>
  <c r="G18" i="14"/>
  <c r="E27" i="14"/>
  <c r="I27" i="14"/>
  <c r="J119" i="7"/>
  <c r="I45" i="7"/>
  <c r="C29" i="3"/>
  <c r="I44" i="7"/>
  <c r="D17" i="30"/>
  <c r="D24" i="30"/>
  <c r="D23" i="30"/>
  <c r="D22" i="30"/>
  <c r="D20" i="30"/>
  <c r="D19" i="30"/>
  <c r="D18" i="30"/>
  <c r="B4" i="30"/>
  <c r="A17" i="30"/>
  <c r="A18" i="30"/>
  <c r="A19" i="30"/>
  <c r="A20" i="30"/>
  <c r="A21" i="30"/>
  <c r="A22" i="30"/>
  <c r="A23" i="30"/>
  <c r="A24" i="30"/>
  <c r="A25" i="30"/>
  <c r="B1" i="30"/>
  <c r="F7" i="14"/>
  <c r="D7" i="14"/>
  <c r="C7" i="14"/>
  <c r="E14" i="14"/>
  <c r="E7" i="14"/>
  <c r="F40" i="14"/>
  <c r="F10" i="14"/>
  <c r="D40" i="14"/>
  <c r="D10" i="14"/>
  <c r="C40" i="14"/>
  <c r="C10" i="14"/>
  <c r="E39" i="14"/>
  <c r="G39" i="14"/>
  <c r="E38" i="14"/>
  <c r="I38" i="14"/>
  <c r="E37" i="14"/>
  <c r="I37" i="14"/>
  <c r="E36" i="14"/>
  <c r="E35" i="14"/>
  <c r="F16" i="12"/>
  <c r="H16" i="12"/>
  <c r="K84" i="24"/>
  <c r="K97" i="24"/>
  <c r="I67" i="7"/>
  <c r="I68" i="7"/>
  <c r="J66" i="7" s="1"/>
  <c r="C26" i="3" s="1"/>
  <c r="J48" i="7"/>
  <c r="C27" i="3"/>
  <c r="I56" i="7"/>
  <c r="I57" i="7"/>
  <c r="I58" i="7"/>
  <c r="I60" i="7"/>
  <c r="I61" i="7"/>
  <c r="I62" i="7"/>
  <c r="I64" i="7"/>
  <c r="I65" i="7"/>
  <c r="J52" i="7"/>
  <c r="I35" i="7"/>
  <c r="I40" i="7"/>
  <c r="I41" i="7"/>
  <c r="I42" i="7"/>
  <c r="I46" i="7"/>
  <c r="J43" i="7" s="1"/>
  <c r="J49" i="7"/>
  <c r="C32" i="3"/>
  <c r="I32" i="7"/>
  <c r="C33" i="3"/>
  <c r="C37" i="3"/>
  <c r="C38" i="3"/>
  <c r="I70" i="7"/>
  <c r="C14" i="3"/>
  <c r="I71" i="7"/>
  <c r="I72" i="7"/>
  <c r="J47" i="7"/>
  <c r="I33" i="7"/>
  <c r="I34" i="7"/>
  <c r="J159" i="7"/>
  <c r="D16" i="8"/>
  <c r="J132" i="7"/>
  <c r="I134" i="7"/>
  <c r="I135" i="7"/>
  <c r="I136" i="7"/>
  <c r="I137" i="7"/>
  <c r="I138" i="7"/>
  <c r="I139" i="7"/>
  <c r="I140" i="7"/>
  <c r="I143" i="7"/>
  <c r="I144" i="7"/>
  <c r="I145" i="7"/>
  <c r="I146" i="7"/>
  <c r="I148" i="7"/>
  <c r="I149" i="7"/>
  <c r="I150" i="7"/>
  <c r="I151" i="7"/>
  <c r="I152" i="7"/>
  <c r="I153" i="7"/>
  <c r="J157" i="7"/>
  <c r="I122" i="7"/>
  <c r="I121" i="7"/>
  <c r="C66" i="11"/>
  <c r="C76" i="11"/>
  <c r="F19" i="23" s="1"/>
  <c r="C56" i="11"/>
  <c r="B43" i="9" s="1"/>
  <c r="J50" i="7" s="1"/>
  <c r="C25" i="11"/>
  <c r="B13" i="9" s="1"/>
  <c r="C36" i="11"/>
  <c r="C46" i="11"/>
  <c r="F76" i="11"/>
  <c r="F25" i="11"/>
  <c r="F36" i="11"/>
  <c r="F46" i="11"/>
  <c r="F56" i="11"/>
  <c r="F66" i="11"/>
  <c r="E26" i="20"/>
  <c r="G26" i="20"/>
  <c r="E26" i="10"/>
  <c r="B10" i="9"/>
  <c r="E54" i="10"/>
  <c r="B11" i="9" s="1"/>
  <c r="I21" i="7"/>
  <c r="I22" i="7"/>
  <c r="I24" i="7"/>
  <c r="C23" i="14"/>
  <c r="C32" i="14"/>
  <c r="C9" i="14"/>
  <c r="I28" i="7"/>
  <c r="F14" i="23"/>
  <c r="I29" i="7"/>
  <c r="F15" i="23"/>
  <c r="I30" i="7"/>
  <c r="F16" i="23"/>
  <c r="I31" i="7"/>
  <c r="F17" i="23"/>
  <c r="I37" i="7"/>
  <c r="F20" i="23"/>
  <c r="J38" i="7"/>
  <c r="F18" i="23"/>
  <c r="I77" i="7"/>
  <c r="I78" i="7"/>
  <c r="I79" i="7"/>
  <c r="I80" i="7"/>
  <c r="I81" i="7"/>
  <c r="E41" i="10"/>
  <c r="C84" i="9"/>
  <c r="I83" i="7"/>
  <c r="I84" i="7"/>
  <c r="I85" i="7"/>
  <c r="I86" i="7"/>
  <c r="I87" i="7"/>
  <c r="I89" i="7"/>
  <c r="J91" i="7"/>
  <c r="J92" i="7"/>
  <c r="J93" i="7"/>
  <c r="G136" i="4"/>
  <c r="J98" i="7"/>
  <c r="K25" i="5"/>
  <c r="C122" i="9" s="1"/>
  <c r="B5" i="5" s="1"/>
  <c r="G148" i="4"/>
  <c r="C61" i="3"/>
  <c r="I102" i="7"/>
  <c r="I103" i="7"/>
  <c r="C11" i="3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H31" i="13"/>
  <c r="H32" i="13"/>
  <c r="H33" i="13"/>
  <c r="H34" i="13"/>
  <c r="H35" i="13"/>
  <c r="H36" i="13"/>
  <c r="H37" i="13"/>
  <c r="H38" i="13"/>
  <c r="H39" i="13"/>
  <c r="H40" i="13"/>
  <c r="H41" i="13"/>
  <c r="H42" i="13"/>
  <c r="H43" i="13"/>
  <c r="H44" i="13"/>
  <c r="H45" i="13"/>
  <c r="H46" i="13"/>
  <c r="H47" i="13"/>
  <c r="H48" i="13"/>
  <c r="H49" i="13"/>
  <c r="H50" i="13"/>
  <c r="H51" i="13"/>
  <c r="H52" i="13"/>
  <c r="H53" i="13"/>
  <c r="H54" i="13"/>
  <c r="H55" i="13"/>
  <c r="H56" i="13"/>
  <c r="H57" i="13"/>
  <c r="H58" i="13"/>
  <c r="H59" i="13"/>
  <c r="H60" i="13"/>
  <c r="H61" i="13"/>
  <c r="H62" i="13"/>
  <c r="H63" i="13"/>
  <c r="H64" i="13"/>
  <c r="H65" i="13"/>
  <c r="H66" i="13"/>
  <c r="H67" i="13"/>
  <c r="H68" i="13"/>
  <c r="H69" i="13"/>
  <c r="H70" i="13"/>
  <c r="H71" i="13"/>
  <c r="H72" i="13"/>
  <c r="H73" i="13"/>
  <c r="H74" i="13"/>
  <c r="H75" i="13"/>
  <c r="H76" i="13"/>
  <c r="H77" i="13"/>
  <c r="H78" i="13"/>
  <c r="H79" i="13"/>
  <c r="H80" i="13"/>
  <c r="H81" i="13"/>
  <c r="H82" i="13"/>
  <c r="H83" i="13"/>
  <c r="H84" i="13"/>
  <c r="H85" i="13"/>
  <c r="H86" i="13"/>
  <c r="H87" i="13"/>
  <c r="H88" i="13"/>
  <c r="H89" i="13"/>
  <c r="H90" i="13"/>
  <c r="H91" i="13"/>
  <c r="H92" i="13"/>
  <c r="H93" i="13"/>
  <c r="H94" i="13"/>
  <c r="H95" i="13"/>
  <c r="H96" i="13"/>
  <c r="H97" i="13"/>
  <c r="H98" i="13"/>
  <c r="H99" i="13"/>
  <c r="H100" i="13"/>
  <c r="H101" i="13"/>
  <c r="H102" i="13"/>
  <c r="H103" i="13"/>
  <c r="H104" i="13"/>
  <c r="H105" i="13"/>
  <c r="H106" i="13"/>
  <c r="H107" i="13"/>
  <c r="H108" i="13"/>
  <c r="H109" i="13"/>
  <c r="H110" i="13"/>
  <c r="H111" i="13"/>
  <c r="H112" i="13"/>
  <c r="H113" i="13"/>
  <c r="H114" i="13"/>
  <c r="H115" i="13"/>
  <c r="H116" i="13"/>
  <c r="H117" i="13"/>
  <c r="H118" i="13"/>
  <c r="H119" i="13"/>
  <c r="H120" i="13"/>
  <c r="H121" i="13"/>
  <c r="H122" i="13"/>
  <c r="H123" i="13"/>
  <c r="H124" i="13"/>
  <c r="H125" i="13"/>
  <c r="H126" i="13"/>
  <c r="H127" i="13"/>
  <c r="H128" i="13"/>
  <c r="H129" i="13"/>
  <c r="H130" i="13"/>
  <c r="H131" i="13"/>
  <c r="H132" i="13"/>
  <c r="H133" i="13"/>
  <c r="H134" i="13"/>
  <c r="H135" i="13"/>
  <c r="H136" i="13"/>
  <c r="H137" i="13"/>
  <c r="H138" i="13"/>
  <c r="H139" i="13"/>
  <c r="H140" i="13"/>
  <c r="H141" i="13"/>
  <c r="H142" i="13"/>
  <c r="H143" i="13"/>
  <c r="H144" i="13"/>
  <c r="H145" i="13"/>
  <c r="H146" i="13"/>
  <c r="H147" i="13"/>
  <c r="H148" i="13"/>
  <c r="H149" i="13"/>
  <c r="H150" i="13"/>
  <c r="H151" i="13"/>
  <c r="H152" i="13"/>
  <c r="H153" i="13"/>
  <c r="H154" i="13"/>
  <c r="H155" i="13"/>
  <c r="H156" i="13"/>
  <c r="H157" i="13"/>
  <c r="H158" i="13"/>
  <c r="H159" i="13"/>
  <c r="H17" i="12"/>
  <c r="H18" i="12"/>
  <c r="H19" i="12"/>
  <c r="H20" i="12"/>
  <c r="H21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F26" i="4"/>
  <c r="C15" i="3"/>
  <c r="C16" i="3"/>
  <c r="H16" i="1"/>
  <c r="T10" i="5"/>
  <c r="W10" i="5"/>
  <c r="T11" i="5"/>
  <c r="W11" i="5"/>
  <c r="T12" i="5"/>
  <c r="W12" i="5"/>
  <c r="T13" i="5"/>
  <c r="W13" i="5"/>
  <c r="T14" i="5"/>
  <c r="W14" i="5"/>
  <c r="T15" i="5"/>
  <c r="W15" i="5"/>
  <c r="T16" i="5"/>
  <c r="W16" i="5"/>
  <c r="T17" i="5"/>
  <c r="W17" i="5"/>
  <c r="T18" i="5"/>
  <c r="W18" i="5"/>
  <c r="T19" i="5"/>
  <c r="W19" i="5"/>
  <c r="T20" i="5"/>
  <c r="W20" i="5"/>
  <c r="T21" i="5"/>
  <c r="W21" i="5"/>
  <c r="T22" i="5"/>
  <c r="W22" i="5"/>
  <c r="T23" i="5"/>
  <c r="W23" i="5"/>
  <c r="T24" i="5"/>
  <c r="W24" i="5"/>
  <c r="K14" i="24"/>
  <c r="K22" i="24"/>
  <c r="K23" i="24"/>
  <c r="K29" i="24"/>
  <c r="B7" i="25"/>
  <c r="K37" i="24"/>
  <c r="B8" i="25"/>
  <c r="K51" i="24"/>
  <c r="K52" i="24"/>
  <c r="K68" i="24"/>
  <c r="B14" i="25"/>
  <c r="K116" i="24"/>
  <c r="K123" i="24"/>
  <c r="K124" i="24" s="1"/>
  <c r="A1" i="10"/>
  <c r="A3" i="10"/>
  <c r="A10" i="8"/>
  <c r="A11" i="8"/>
  <c r="A12" i="8"/>
  <c r="A13" i="8"/>
  <c r="A14" i="8"/>
  <c r="A15" i="8"/>
  <c r="A16" i="8"/>
  <c r="B4" i="8"/>
  <c r="B1" i="8"/>
  <c r="I113" i="7"/>
  <c r="I114" i="7"/>
  <c r="D10" i="8"/>
  <c r="I115" i="7"/>
  <c r="J117" i="7"/>
  <c r="F22" i="4"/>
  <c r="D14" i="8" s="1"/>
  <c r="F11" i="18"/>
  <c r="I11" i="18"/>
  <c r="F12" i="18"/>
  <c r="I12" i="18"/>
  <c r="F13" i="18"/>
  <c r="I13" i="18"/>
  <c r="F14" i="18"/>
  <c r="I14" i="18"/>
  <c r="F15" i="18"/>
  <c r="I15" i="18"/>
  <c r="F16" i="18"/>
  <c r="I16" i="18"/>
  <c r="A1" i="18"/>
  <c r="A4" i="18"/>
  <c r="E44" i="14"/>
  <c r="G44" i="14"/>
  <c r="E45" i="14"/>
  <c r="G45" i="14"/>
  <c r="D46" i="14"/>
  <c r="F46" i="14"/>
  <c r="C46" i="14"/>
  <c r="D10" i="18"/>
  <c r="E17" i="14"/>
  <c r="G17" i="14"/>
  <c r="E19" i="14"/>
  <c r="G19" i="14"/>
  <c r="E20" i="14"/>
  <c r="G20" i="14"/>
  <c r="E21" i="14"/>
  <c r="G21" i="14"/>
  <c r="E22" i="14"/>
  <c r="E26" i="14"/>
  <c r="G26" i="14"/>
  <c r="E28" i="14"/>
  <c r="G28" i="14"/>
  <c r="E29" i="14"/>
  <c r="E30" i="14"/>
  <c r="I30" i="14"/>
  <c r="E31" i="14"/>
  <c r="D23" i="14"/>
  <c r="D8" i="14"/>
  <c r="D32" i="14"/>
  <c r="D9" i="14"/>
  <c r="F23" i="14"/>
  <c r="F8" i="14"/>
  <c r="F32" i="14"/>
  <c r="F9" i="14"/>
  <c r="J116" i="7"/>
  <c r="J124" i="7"/>
  <c r="A6" i="7"/>
  <c r="A7" i="7"/>
  <c r="A2" i="26"/>
  <c r="A3" i="26"/>
  <c r="C8" i="26"/>
  <c r="E19" i="20"/>
  <c r="A1" i="20"/>
  <c r="A4" i="20"/>
  <c r="E25" i="20"/>
  <c r="G25" i="20"/>
  <c r="E24" i="20"/>
  <c r="G24" i="20"/>
  <c r="E23" i="20"/>
  <c r="G23" i="20"/>
  <c r="F23" i="20"/>
  <c r="E22" i="20"/>
  <c r="G22" i="20"/>
  <c r="E21" i="20"/>
  <c r="F21" i="20"/>
  <c r="E20" i="20"/>
  <c r="F20" i="20"/>
  <c r="E18" i="20"/>
  <c r="G18" i="20"/>
  <c r="E17" i="20"/>
  <c r="G17" i="20"/>
  <c r="F17" i="20"/>
  <c r="E16" i="20"/>
  <c r="F16" i="20"/>
  <c r="E15" i="20"/>
  <c r="F15" i="20"/>
  <c r="G15" i="20"/>
  <c r="E14" i="20"/>
  <c r="G14" i="20"/>
  <c r="E13" i="20"/>
  <c r="G13" i="20"/>
  <c r="E12" i="20"/>
  <c r="G12" i="20"/>
  <c r="E11" i="20"/>
  <c r="F11" i="20"/>
  <c r="A4" i="22"/>
  <c r="A1" i="22"/>
  <c r="F12" i="21"/>
  <c r="J12" i="21"/>
  <c r="I12" i="21"/>
  <c r="F13" i="21"/>
  <c r="J13" i="21"/>
  <c r="I13" i="21"/>
  <c r="K13" i="21" s="1"/>
  <c r="F14" i="21"/>
  <c r="J14" i="21"/>
  <c r="I14" i="21"/>
  <c r="K14" i="21"/>
  <c r="F15" i="21"/>
  <c r="J15" i="21"/>
  <c r="I15" i="21"/>
  <c r="K15" i="21" s="1"/>
  <c r="F16" i="21"/>
  <c r="J16" i="21"/>
  <c r="I16" i="21"/>
  <c r="K16" i="21"/>
  <c r="F17" i="21"/>
  <c r="J17" i="21"/>
  <c r="I17" i="21"/>
  <c r="K17" i="21" s="1"/>
  <c r="F18" i="21"/>
  <c r="J18" i="21"/>
  <c r="I18" i="21"/>
  <c r="K18" i="21" s="1"/>
  <c r="F19" i="21"/>
  <c r="J19" i="21"/>
  <c r="I19" i="21"/>
  <c r="K19" i="21" s="1"/>
  <c r="F20" i="21"/>
  <c r="J20" i="21"/>
  <c r="I20" i="21"/>
  <c r="K20" i="21" s="1"/>
  <c r="F21" i="21"/>
  <c r="J21" i="21"/>
  <c r="I21" i="21"/>
  <c r="K21" i="21"/>
  <c r="A5" i="21"/>
  <c r="A1" i="21"/>
  <c r="H164" i="13"/>
  <c r="H165" i="13"/>
  <c r="H166" i="13"/>
  <c r="H167" i="13"/>
  <c r="H168" i="13"/>
  <c r="H169" i="13"/>
  <c r="H170" i="13"/>
  <c r="H171" i="13"/>
  <c r="H172" i="13"/>
  <c r="H173" i="13"/>
  <c r="F164" i="13"/>
  <c r="F165" i="13"/>
  <c r="F166" i="13"/>
  <c r="F167" i="13"/>
  <c r="F168" i="13"/>
  <c r="F169" i="13"/>
  <c r="F170" i="13"/>
  <c r="F171" i="13"/>
  <c r="F172" i="13"/>
  <c r="F173" i="13"/>
  <c r="B1" i="12"/>
  <c r="B3" i="12"/>
  <c r="F49" i="12"/>
  <c r="H49" i="12"/>
  <c r="F50" i="12"/>
  <c r="H50" i="12"/>
  <c r="F51" i="12"/>
  <c r="H51" i="12"/>
  <c r="F52" i="12"/>
  <c r="H52" i="12"/>
  <c r="F53" i="12"/>
  <c r="H53" i="12"/>
  <c r="F54" i="12"/>
  <c r="H54" i="12"/>
  <c r="F55" i="12"/>
  <c r="H55" i="12"/>
  <c r="B1" i="13"/>
  <c r="B3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3" i="13"/>
  <c r="A94" i="13"/>
  <c r="A95" i="13"/>
  <c r="A96" i="13"/>
  <c r="A97" i="13"/>
  <c r="A98" i="13"/>
  <c r="A99" i="13"/>
  <c r="A100" i="13"/>
  <c r="A101" i="13"/>
  <c r="A102" i="13"/>
  <c r="A103" i="13"/>
  <c r="A104" i="13"/>
  <c r="A105" i="13"/>
  <c r="A106" i="13"/>
  <c r="A107" i="13"/>
  <c r="A108" i="13"/>
  <c r="A109" i="13"/>
  <c r="A110" i="13"/>
  <c r="A111" i="13"/>
  <c r="A112" i="13"/>
  <c r="A113" i="13"/>
  <c r="A114" i="13"/>
  <c r="A115" i="13"/>
  <c r="A116" i="13"/>
  <c r="A117" i="13"/>
  <c r="A118" i="13"/>
  <c r="A119" i="13"/>
  <c r="A120" i="13"/>
  <c r="A121" i="13"/>
  <c r="A122" i="13"/>
  <c r="A123" i="13"/>
  <c r="A124" i="13"/>
  <c r="A125" i="13"/>
  <c r="A126" i="13"/>
  <c r="A127" i="13"/>
  <c r="A128" i="13"/>
  <c r="A129" i="13"/>
  <c r="A130" i="13"/>
  <c r="A131" i="13"/>
  <c r="A132" i="13"/>
  <c r="A133" i="13"/>
  <c r="A134" i="13"/>
  <c r="A135" i="13"/>
  <c r="A136" i="13"/>
  <c r="A137" i="13"/>
  <c r="A138" i="13"/>
  <c r="A139" i="13"/>
  <c r="A140" i="13"/>
  <c r="A141" i="13"/>
  <c r="A142" i="13"/>
  <c r="A143" i="13"/>
  <c r="A144" i="13"/>
  <c r="A145" i="13"/>
  <c r="A146" i="13"/>
  <c r="A147" i="13"/>
  <c r="A148" i="13"/>
  <c r="A149" i="13"/>
  <c r="A150" i="13"/>
  <c r="A151" i="13"/>
  <c r="A152" i="13"/>
  <c r="A153" i="13"/>
  <c r="A154" i="13"/>
  <c r="A155" i="13"/>
  <c r="A156" i="13"/>
  <c r="A157" i="13"/>
  <c r="A158" i="13"/>
  <c r="A159" i="13"/>
  <c r="A160" i="13"/>
  <c r="E10" i="17"/>
  <c r="E11" i="17"/>
  <c r="E12" i="17"/>
  <c r="E13" i="17"/>
  <c r="E14" i="17"/>
  <c r="E15" i="17"/>
  <c r="E16" i="17"/>
  <c r="E17" i="17"/>
  <c r="E18" i="17"/>
  <c r="E19" i="17"/>
  <c r="A1" i="17"/>
  <c r="A4" i="17"/>
  <c r="B20" i="17"/>
  <c r="C20" i="17"/>
  <c r="D20" i="17"/>
  <c r="D163" i="4"/>
  <c r="F90" i="4"/>
  <c r="E92" i="4"/>
  <c r="G92" i="4"/>
  <c r="E93" i="4"/>
  <c r="E94" i="4"/>
  <c r="G94" i="4"/>
  <c r="E95" i="4"/>
  <c r="G95" i="4"/>
  <c r="E96" i="4"/>
  <c r="G96" i="4"/>
  <c r="E97" i="4"/>
  <c r="G97" i="4"/>
  <c r="E98" i="4"/>
  <c r="G98" i="4"/>
  <c r="E99" i="4"/>
  <c r="G99" i="4"/>
  <c r="E100" i="4"/>
  <c r="G100" i="4"/>
  <c r="E101" i="4"/>
  <c r="G101" i="4"/>
  <c r="F102" i="4"/>
  <c r="G107" i="4"/>
  <c r="F136" i="4"/>
  <c r="F119" i="4"/>
  <c r="F120" i="4"/>
  <c r="G124" i="4"/>
  <c r="D34" i="4"/>
  <c r="C34" i="3"/>
  <c r="E42" i="4"/>
  <c r="C35" i="3"/>
  <c r="D52" i="4"/>
  <c r="C36" i="3"/>
  <c r="E77" i="4"/>
  <c r="C22" i="3"/>
  <c r="E85" i="4"/>
  <c r="C23" i="3"/>
  <c r="C102" i="4"/>
  <c r="D102" i="4"/>
  <c r="H136" i="4"/>
  <c r="A3" i="3"/>
  <c r="F91" i="4"/>
  <c r="B1" i="11"/>
  <c r="B3" i="11"/>
  <c r="F19" i="19"/>
  <c r="F14" i="19"/>
  <c r="F15" i="19"/>
  <c r="F16" i="19"/>
  <c r="F17" i="19"/>
  <c r="F18" i="19"/>
  <c r="F21" i="19"/>
  <c r="A4" i="19"/>
  <c r="A1" i="19"/>
  <c r="A1" i="3"/>
  <c r="B1" i="5"/>
  <c r="A15" i="3"/>
  <c r="A69" i="3"/>
  <c r="A1" i="14"/>
  <c r="A3" i="23"/>
  <c r="A1" i="23"/>
  <c r="C20" i="25"/>
  <c r="B16" i="25"/>
  <c r="B13" i="25"/>
  <c r="B11" i="25"/>
  <c r="B10" i="25"/>
  <c r="A3" i="25"/>
  <c r="A3" i="24"/>
  <c r="A1" i="24"/>
  <c r="A1" i="16"/>
  <c r="A3" i="16"/>
  <c r="F18" i="16"/>
  <c r="F19" i="16"/>
  <c r="F21" i="16" s="1"/>
  <c r="F33" i="16" s="1"/>
  <c r="C21" i="16"/>
  <c r="D21" i="16"/>
  <c r="C31" i="16"/>
  <c r="C33" i="16"/>
  <c r="D31" i="16"/>
  <c r="D33" i="16" s="1"/>
  <c r="C40" i="16"/>
  <c r="D40" i="16"/>
  <c r="C46" i="16"/>
  <c r="C48" i="16" s="1"/>
  <c r="C50" i="16" s="1"/>
  <c r="D46" i="16"/>
  <c r="D48" i="16" s="1"/>
  <c r="D50" i="16" s="1"/>
  <c r="F48" i="16"/>
  <c r="A1" i="15"/>
  <c r="A3" i="15"/>
  <c r="F18" i="15"/>
  <c r="F19" i="15"/>
  <c r="F21" i="15"/>
  <c r="C21" i="15"/>
  <c r="D21" i="15"/>
  <c r="E21" i="15"/>
  <c r="F28" i="15"/>
  <c r="F29" i="15"/>
  <c r="C31" i="15"/>
  <c r="C33" i="15" s="1"/>
  <c r="D31" i="15"/>
  <c r="D33" i="15" s="1"/>
  <c r="E31" i="15"/>
  <c r="C40" i="15"/>
  <c r="D40" i="15"/>
  <c r="E40" i="15"/>
  <c r="C46" i="15"/>
  <c r="D46" i="15"/>
  <c r="D48" i="15" s="1"/>
  <c r="D50" i="15" s="1"/>
  <c r="E46" i="15"/>
  <c r="E48" i="15" s="1"/>
  <c r="F48" i="15"/>
  <c r="B2" i="27"/>
  <c r="A19" i="27"/>
  <c r="B3" i="27"/>
  <c r="B19" i="27"/>
  <c r="B4" i="27"/>
  <c r="B5" i="27"/>
  <c r="D19" i="27"/>
  <c r="B6" i="27"/>
  <c r="E19" i="27"/>
  <c r="B7" i="27"/>
  <c r="F19" i="27"/>
  <c r="B8" i="27"/>
  <c r="G19" i="27"/>
  <c r="B9" i="27"/>
  <c r="H19" i="27"/>
  <c r="C19" i="27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N25" i="5"/>
  <c r="O25" i="5"/>
  <c r="C22" i="25"/>
  <c r="I45" i="14"/>
  <c r="I19" i="14"/>
  <c r="G30" i="14"/>
  <c r="G22" i="14"/>
  <c r="I22" i="14"/>
  <c r="E46" i="14"/>
  <c r="I31" i="14"/>
  <c r="G31" i="14"/>
  <c r="G119" i="4"/>
  <c r="G120" i="4"/>
  <c r="C107" i="9" s="1"/>
  <c r="D107" i="9"/>
  <c r="C59" i="3"/>
  <c r="G36" i="14"/>
  <c r="I36" i="14"/>
  <c r="I35" i="14"/>
  <c r="G35" i="14"/>
  <c r="J133" i="7"/>
  <c r="J131" i="7" s="1"/>
  <c r="B106" i="4"/>
  <c r="G29" i="14"/>
  <c r="I29" i="14"/>
  <c r="C8" i="14"/>
  <c r="J94" i="7"/>
  <c r="H56" i="12"/>
  <c r="G6" i="12"/>
  <c r="F56" i="12"/>
  <c r="F6" i="12"/>
  <c r="F31" i="15"/>
  <c r="F33" i="15"/>
  <c r="F50" i="15"/>
  <c r="I20" i="14"/>
  <c r="Q25" i="5"/>
  <c r="C12" i="3"/>
  <c r="C58" i="3"/>
  <c r="I18" i="14"/>
  <c r="G27" i="14"/>
  <c r="J27" i="14"/>
  <c r="J18" i="14"/>
  <c r="J30" i="14"/>
  <c r="E32" i="14"/>
  <c r="E9" i="14"/>
  <c r="I28" i="14"/>
  <c r="J28" i="14"/>
  <c r="J29" i="14"/>
  <c r="G32" i="14"/>
  <c r="G9" i="14"/>
  <c r="I44" i="14"/>
  <c r="J19" i="14"/>
  <c r="G37" i="14"/>
  <c r="J37" i="14"/>
  <c r="I39" i="14"/>
  <c r="J39" i="14"/>
  <c r="E10" i="18"/>
  <c r="F10" i="18"/>
  <c r="I26" i="14"/>
  <c r="J26" i="14"/>
  <c r="C11" i="14"/>
  <c r="B19" i="9" s="1"/>
  <c r="I27" i="7"/>
  <c r="F13" i="23"/>
  <c r="G38" i="14"/>
  <c r="J38" i="14"/>
  <c r="J45" i="14"/>
  <c r="J36" i="14"/>
  <c r="J22" i="14"/>
  <c r="J69" i="7"/>
  <c r="F12" i="20"/>
  <c r="F14" i="20"/>
  <c r="J39" i="7"/>
  <c r="G125" i="4"/>
  <c r="C12" i="4"/>
  <c r="B3" i="5"/>
  <c r="F11" i="14"/>
  <c r="E9" i="18"/>
  <c r="J35" i="14"/>
  <c r="D9" i="18"/>
  <c r="E40" i="14"/>
  <c r="E10" i="14"/>
  <c r="G14" i="14"/>
  <c r="G7" i="14"/>
  <c r="I17" i="14"/>
  <c r="J17" i="14"/>
  <c r="K98" i="24"/>
  <c r="K100" i="24"/>
  <c r="K126" i="24"/>
  <c r="K131" i="24"/>
  <c r="I142" i="24"/>
  <c r="B6" i="25"/>
  <c r="F78" i="11"/>
  <c r="F18" i="20"/>
  <c r="G20" i="20"/>
  <c r="A1" i="25"/>
  <c r="C18" i="25"/>
  <c r="C24" i="25"/>
  <c r="H6" i="12"/>
  <c r="D9" i="19"/>
  <c r="F9" i="19"/>
  <c r="F175" i="13"/>
  <c r="C31" i="3" s="1"/>
  <c r="J31" i="14"/>
  <c r="I18" i="7"/>
  <c r="K148" i="24"/>
  <c r="G46" i="14"/>
  <c r="J44" i="14"/>
  <c r="J46" i="14"/>
  <c r="I10" i="18"/>
  <c r="E102" i="4"/>
  <c r="G93" i="4"/>
  <c r="G102" i="4" s="1"/>
  <c r="C60" i="3" s="1"/>
  <c r="C28" i="3" s="1"/>
  <c r="C48" i="15"/>
  <c r="C50" i="15" s="1"/>
  <c r="G19" i="20"/>
  <c r="F19" i="20"/>
  <c r="J20" i="14"/>
  <c r="K12" i="21"/>
  <c r="K22" i="21"/>
  <c r="D11" i="14"/>
  <c r="B9" i="25"/>
  <c r="B24" i="25"/>
  <c r="K73" i="24"/>
  <c r="K130" i="24"/>
  <c r="H161" i="13"/>
  <c r="G7" i="12"/>
  <c r="G8" i="12"/>
  <c r="E23" i="14"/>
  <c r="E8" i="14"/>
  <c r="I21" i="14"/>
  <c r="J21" i="14"/>
  <c r="G23" i="14"/>
  <c r="G8" i="14"/>
  <c r="F9" i="18"/>
  <c r="J23" i="14"/>
  <c r="J32" i="14"/>
  <c r="J40" i="14"/>
  <c r="G40" i="14"/>
  <c r="G10" i="14"/>
  <c r="G11" i="14" s="1"/>
  <c r="E11" i="14"/>
  <c r="K132" i="24"/>
  <c r="K134" i="24"/>
  <c r="K149" i="24"/>
  <c r="K151" i="24" s="1"/>
  <c r="F9" i="12"/>
  <c r="D10" i="19"/>
  <c r="F10" i="19"/>
  <c r="I9" i="18"/>
  <c r="I17" i="18"/>
  <c r="C46" i="3"/>
  <c r="F22" i="20"/>
  <c r="C56" i="3"/>
  <c r="C62" i="3" s="1"/>
  <c r="F27" i="4"/>
  <c r="B28" i="4"/>
  <c r="G21" i="20"/>
  <c r="F26" i="20"/>
  <c r="F24" i="20"/>
  <c r="G16" i="20"/>
  <c r="F25" i="20"/>
  <c r="I147" i="7"/>
  <c r="J142" i="7" s="1"/>
  <c r="C205" i="9"/>
  <c r="I82" i="7"/>
  <c r="I17" i="7"/>
  <c r="J16" i="7"/>
  <c r="F10" i="23"/>
  <c r="G11" i="20"/>
  <c r="J26" i="7"/>
  <c r="D11" i="8"/>
  <c r="D19" i="8" s="1"/>
  <c r="B10" i="20"/>
  <c r="F10" i="20"/>
  <c r="C11" i="21"/>
  <c r="B8" i="22"/>
  <c r="J155" i="7"/>
  <c r="J158" i="7"/>
  <c r="J163" i="7"/>
  <c r="K24" i="7"/>
  <c r="J99" i="7"/>
  <c r="M14" i="23"/>
  <c r="G108" i="4"/>
  <c r="F13" i="20"/>
  <c r="E27" i="20"/>
  <c r="C48" i="3"/>
  <c r="A3" i="14"/>
  <c r="D155" i="4"/>
  <c r="D25" i="30"/>
  <c r="D28" i="30"/>
  <c r="B35" i="30"/>
  <c r="J120" i="7"/>
  <c r="D13" i="22"/>
  <c r="D19" i="22"/>
  <c r="D16" i="22"/>
  <c r="D23" i="22"/>
  <c r="G8" i="22"/>
  <c r="D10" i="22"/>
  <c r="D21" i="22"/>
  <c r="D12" i="22"/>
  <c r="D14" i="22"/>
  <c r="D22" i="22"/>
  <c r="D18" i="22"/>
  <c r="D17" i="22"/>
  <c r="D15" i="22"/>
  <c r="D20" i="22"/>
  <c r="D9" i="22"/>
  <c r="D11" i="22"/>
  <c r="E17" i="21"/>
  <c r="E21" i="21"/>
  <c r="E16" i="21"/>
  <c r="E12" i="21"/>
  <c r="E14" i="21"/>
  <c r="E13" i="21"/>
  <c r="E20" i="21"/>
  <c r="E19" i="21"/>
  <c r="E18" i="21"/>
  <c r="E15" i="21"/>
  <c r="M11" i="21"/>
  <c r="G16" i="21"/>
  <c r="L16" i="21"/>
  <c r="S16" i="21"/>
  <c r="S21" i="21"/>
  <c r="G21" i="21"/>
  <c r="L21" i="21"/>
  <c r="F16" i="22"/>
  <c r="H16" i="22"/>
  <c r="G16" i="22"/>
  <c r="F21" i="22"/>
  <c r="H21" i="22"/>
  <c r="G21" i="22"/>
  <c r="S15" i="21"/>
  <c r="G15" i="21"/>
  <c r="L15" i="21"/>
  <c r="F19" i="22"/>
  <c r="H19" i="22"/>
  <c r="G19" i="22"/>
  <c r="G12" i="22"/>
  <c r="F12" i="22"/>
  <c r="H12" i="22"/>
  <c r="G10" i="22"/>
  <c r="F10" i="22"/>
  <c r="H10" i="22"/>
  <c r="G20" i="22"/>
  <c r="F20" i="22"/>
  <c r="H20" i="22"/>
  <c r="G13" i="22"/>
  <c r="F13" i="22"/>
  <c r="H13" i="22"/>
  <c r="G12" i="21"/>
  <c r="L12" i="21" s="1"/>
  <c r="S12" i="21"/>
  <c r="G18" i="21"/>
  <c r="L18" i="21"/>
  <c r="S18" i="21"/>
  <c r="G17" i="22"/>
  <c r="F17" i="22"/>
  <c r="H17" i="22"/>
  <c r="F23" i="22"/>
  <c r="H23" i="22"/>
  <c r="G23" i="22"/>
  <c r="S20" i="21"/>
  <c r="G20" i="21"/>
  <c r="L20" i="21"/>
  <c r="G17" i="21"/>
  <c r="L17" i="21"/>
  <c r="S17" i="21"/>
  <c r="F11" i="22"/>
  <c r="H11" i="22"/>
  <c r="G11" i="22"/>
  <c r="G15" i="22"/>
  <c r="F15" i="22"/>
  <c r="H15" i="22"/>
  <c r="S13" i="21"/>
  <c r="G13" i="21"/>
  <c r="L13" i="21"/>
  <c r="B32" i="30"/>
  <c r="G9" i="22"/>
  <c r="F9" i="22"/>
  <c r="S19" i="21"/>
  <c r="G19" i="21"/>
  <c r="L19" i="21"/>
  <c r="F18" i="22"/>
  <c r="H18" i="22"/>
  <c r="G18" i="22"/>
  <c r="G22" i="22"/>
  <c r="F22" i="22"/>
  <c r="H22" i="22"/>
  <c r="S14" i="21"/>
  <c r="G14" i="21"/>
  <c r="L14" i="21"/>
  <c r="G14" i="22"/>
  <c r="F14" i="22"/>
  <c r="H14" i="22"/>
  <c r="D156" i="4"/>
  <c r="I123" i="7"/>
  <c r="M17" i="21"/>
  <c r="N17" i="21"/>
  <c r="G22" i="21"/>
  <c r="M20" i="21"/>
  <c r="N20" i="21"/>
  <c r="N21" i="21"/>
  <c r="M21" i="21"/>
  <c r="H9" i="22"/>
  <c r="F24" i="22"/>
  <c r="C49" i="3"/>
  <c r="M13" i="21"/>
  <c r="N13" i="21"/>
  <c r="N15" i="21"/>
  <c r="M15" i="21"/>
  <c r="M14" i="21"/>
  <c r="N14" i="21"/>
  <c r="M19" i="21"/>
  <c r="N19" i="21"/>
  <c r="N18" i="21"/>
  <c r="M18" i="21"/>
  <c r="M16" i="21"/>
  <c r="N16" i="21"/>
  <c r="M12" i="21"/>
  <c r="N12" i="21"/>
  <c r="L22" i="21"/>
  <c r="C50" i="3"/>
  <c r="H10" i="21" l="1"/>
  <c r="F50" i="16"/>
  <c r="E20" i="17"/>
  <c r="E21" i="17" s="1"/>
  <c r="E24" i="17" s="1"/>
  <c r="H175" i="13"/>
  <c r="G9" i="12" s="1"/>
  <c r="J112" i="7"/>
  <c r="J106" i="7" s="1"/>
  <c r="F161" i="13"/>
  <c r="F7" i="12" s="1"/>
  <c r="J100" i="7"/>
  <c r="M11" i="23" s="1"/>
  <c r="J76" i="7"/>
  <c r="J20" i="7"/>
  <c r="F12" i="23" s="1"/>
  <c r="B42" i="9"/>
  <c r="C78" i="11"/>
  <c r="C39" i="3"/>
  <c r="C30" i="3"/>
  <c r="C40" i="3" s="1"/>
  <c r="F24" i="23" s="1"/>
  <c r="J19" i="7" l="1"/>
  <c r="B205" i="9"/>
  <c r="M8" i="23"/>
  <c r="J74" i="7"/>
  <c r="F8" i="12"/>
  <c r="H7" i="12"/>
  <c r="D11" i="19"/>
  <c r="F11" i="19" s="1"/>
  <c r="F23" i="19" s="1"/>
  <c r="C45" i="3" s="1"/>
  <c r="G10" i="12"/>
  <c r="H9" i="12"/>
  <c r="C44" i="3"/>
  <c r="C52" i="3" s="1"/>
  <c r="A27" i="17"/>
  <c r="H8" i="12" l="1"/>
  <c r="D16" i="9"/>
  <c r="D31" i="1" s="1"/>
  <c r="F10" i="12"/>
  <c r="C6" i="3"/>
  <c r="C55" i="3" s="1"/>
  <c r="C63" i="3" s="1"/>
  <c r="J126" i="7"/>
  <c r="C207" i="9"/>
  <c r="A4" i="9"/>
  <c r="D30" i="1" s="1"/>
  <c r="F11" i="23"/>
  <c r="F22" i="23" s="1"/>
  <c r="F31" i="23" s="1"/>
  <c r="J15" i="7"/>
  <c r="J13" i="7" s="1"/>
  <c r="F33" i="23" l="1"/>
  <c r="C5" i="3"/>
  <c r="C7" i="3" s="1"/>
  <c r="F34" i="23"/>
  <c r="M33" i="23"/>
  <c r="J9" i="7"/>
  <c r="D32" i="1" s="1"/>
  <c r="C64" i="3"/>
  <c r="C65" i="3" s="1"/>
  <c r="C13" i="3"/>
  <c r="H10" i="12"/>
  <c r="H15" i="1"/>
  <c r="M16" i="23" l="1"/>
  <c r="M20" i="23" s="1"/>
  <c r="C17" i="3"/>
  <c r="C19" i="3"/>
  <c r="C42" i="3" l="1"/>
  <c r="M24" i="23"/>
  <c r="M28" i="23"/>
  <c r="M31" i="23"/>
  <c r="M34" i="23" s="1"/>
  <c r="C68" i="3" l="1"/>
  <c r="C72" i="3" s="1"/>
  <c r="C54" i="3"/>
  <c r="C66" i="3"/>
  <c r="C74" i="3"/>
  <c r="C67" i="3"/>
  <c r="C73" i="3" l="1"/>
  <c r="I140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Carol Lerma</author>
    <author>Rodge</author>
  </authors>
  <commentList>
    <comment ref="A5" authorId="0" shapeId="0" xr:uid="{777DFCDE-0FE5-4B27-9622-C9F497394472}">
      <text>
        <r>
          <rPr>
            <sz val="8"/>
            <color indexed="81"/>
            <rFont val="Tahoma"/>
            <family val="2"/>
          </rPr>
          <t>Customer receivables should be net of specific and general provisions for Bad and Doubtful accounts</t>
        </r>
      </text>
    </comment>
    <comment ref="C6" authorId="1" shapeId="0" xr:uid="{10E17C68-DFF8-4387-8540-237A54DF4C08}">
      <text>
        <r>
          <rPr>
            <sz val="9"/>
            <color indexed="81"/>
            <rFont val="Tahoma"/>
            <family val="2"/>
          </rPr>
          <t xml:space="preserve">Balance is net of Deferred Tax Liability (Unrealized Gain from Equity Inv. in PSE)
</t>
        </r>
      </text>
    </comment>
    <comment ref="A32" authorId="0" shapeId="0" xr:uid="{7C6BA889-D7B9-4C3C-82D8-9786B93173E2}">
      <text>
        <r>
          <rPr>
            <sz val="8"/>
            <color indexed="81"/>
            <rFont val="Tahoma"/>
            <family val="2"/>
          </rPr>
          <t>This covers transactions for the period prior to settlement or T+0 to T+2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Rodge</author>
    <author>hp</author>
  </authors>
  <commentList>
    <comment ref="B8" authorId="0" shapeId="0" xr:uid="{2E1A0401-85AB-4E52-B434-F249477A8669}">
      <text>
        <r>
          <rPr>
            <b/>
            <sz val="9"/>
            <color indexed="81"/>
            <rFont val="Tahoma"/>
            <family val="2"/>
          </rPr>
          <t>Original date</t>
        </r>
        <r>
          <rPr>
            <sz val="9"/>
            <color indexed="81"/>
            <rFont val="Tahoma"/>
            <family val="2"/>
          </rPr>
          <t xml:space="preserve"> of broker/dealer license. This will determine the minimum UPC requirement.</t>
        </r>
      </text>
    </comment>
    <comment ref="B10" authorId="1" shapeId="0" xr:uid="{000B762E-C090-4055-B939-EED43DD826E0}">
      <text>
        <r>
          <rPr>
            <sz val="9"/>
            <color indexed="81"/>
            <rFont val="Tahoma"/>
            <family val="2"/>
          </rPr>
          <t xml:space="preserve">Date of effectivity of </t>
        </r>
        <r>
          <rPr>
            <b/>
            <sz val="9"/>
            <color indexed="81"/>
            <rFont val="Tahoma"/>
            <family val="2"/>
          </rPr>
          <t>Php100,000,000 UPC</t>
        </r>
        <r>
          <rPr>
            <sz val="9"/>
            <color indexed="81"/>
            <rFont val="Tahoma"/>
            <family val="2"/>
          </rPr>
          <t xml:space="preserve"> is set on January 1, 2001.
</t>
        </r>
      </text>
    </comment>
    <comment ref="D21" authorId="1" shapeId="0" xr:uid="{B0E317E3-669D-49F8-B3D9-1F55FEC2ADC2}">
      <text>
        <r>
          <rPr>
            <sz val="9"/>
            <color indexed="81"/>
            <rFont val="Tahoma"/>
            <family val="2"/>
          </rPr>
          <t xml:space="preserve">Manual input
</t>
        </r>
      </text>
    </comment>
    <comment ref="B32" authorId="0" shapeId="0" xr:uid="{6BA409BA-C0E5-427C-8088-5A3E93031B04}">
      <text>
        <r>
          <rPr>
            <sz val="9"/>
            <color indexed="81"/>
            <rFont val="Tahoma"/>
            <family val="2"/>
          </rPr>
          <t>If</t>
        </r>
        <r>
          <rPr>
            <b/>
            <sz val="9"/>
            <color indexed="81"/>
            <rFont val="Tahoma"/>
            <family val="2"/>
          </rPr>
          <t xml:space="preserve"> "NON-COMPLIANT": </t>
        </r>
        <r>
          <rPr>
            <sz val="9"/>
            <color indexed="81"/>
            <rFont val="Tahoma"/>
            <family val="2"/>
          </rPr>
          <t xml:space="preserve">Kindly ascertain if indeed not compliant with the required minimum UPC by first checking the correctness of the </t>
        </r>
        <r>
          <rPr>
            <b/>
            <sz val="9"/>
            <color indexed="81"/>
            <rFont val="Tahoma"/>
            <family val="2"/>
          </rPr>
          <t>minimum UPC requirement</t>
        </r>
        <r>
          <rPr>
            <sz val="9"/>
            <color indexed="81"/>
            <rFont val="Tahoma"/>
            <family val="2"/>
          </rPr>
          <t xml:space="preserve"> at cell </t>
        </r>
        <r>
          <rPr>
            <b/>
            <sz val="9"/>
            <color indexed="81"/>
            <rFont val="Tahoma"/>
            <family val="2"/>
          </rPr>
          <t>#B10</t>
        </r>
        <r>
          <rPr>
            <sz val="9"/>
            <color indexed="81"/>
            <rFont val="Tahoma"/>
            <family val="2"/>
          </rPr>
          <t xml:space="preserve"> and the </t>
        </r>
        <r>
          <rPr>
            <b/>
            <sz val="9"/>
            <color indexed="81"/>
            <rFont val="Tahoma"/>
            <family val="2"/>
          </rPr>
          <t>actual UPC</t>
        </r>
        <r>
          <rPr>
            <sz val="9"/>
            <color indexed="81"/>
            <rFont val="Tahoma"/>
            <family val="2"/>
          </rPr>
          <t xml:space="preserve"> at cell </t>
        </r>
        <r>
          <rPr>
            <b/>
            <sz val="9"/>
            <color indexed="81"/>
            <rFont val="Tahoma"/>
            <family val="2"/>
          </rPr>
          <t>#D28</t>
        </r>
        <r>
          <rPr>
            <sz val="9"/>
            <color indexed="81"/>
            <rFont val="Tahoma"/>
            <family val="2"/>
          </rPr>
          <t xml:space="preserve">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BDD</author>
    <author>Christine</author>
  </authors>
  <commentList>
    <comment ref="A10" authorId="0" shapeId="0" xr:uid="{D71A8690-4DC0-4935-8273-F67515CD1D22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1_Cash in Bank</t>
        </r>
      </text>
    </comment>
    <comment ref="A11" authorId="0" shapeId="0" xr:uid="{59E4A5DC-BDCA-463C-9906-FA21D30C7325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1_ Cash in Bank</t>
        </r>
      </text>
    </comment>
    <comment ref="A13" authorId="0" shapeId="0" xr:uid="{92F49F08-21BA-4EE9-9201-8B6AF0213BBA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2_Placement/Investments of funds available for current operations and are intended to meet working capital requirement.This includes bonds,commercial papers,govt obligations and certificates of deposits.</t>
        </r>
      </text>
    </comment>
    <comment ref="A15" authorId="0" shapeId="0" xr:uid="{27ED1281-23E4-4BC7-878D-3B1195624C16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3_Marketable Securities</t>
        </r>
      </text>
    </comment>
    <comment ref="A16" authorId="0" shapeId="0" xr:uid="{8806CFF2-EF70-4949-B3EF-85694A413CE2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3_Marketable Securities</t>
        </r>
      </text>
    </comment>
    <comment ref="A19" authorId="0" shapeId="0" xr:uid="{82F0DA05-9BDB-4E75-834A-D0A6B7D1BACA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4_Security Valuation/Claims due from customers of the business for the purchase of securities.</t>
        </r>
      </text>
    </comment>
    <comment ref="A21" authorId="0" shapeId="0" xr:uid="{E26DDBB4-61BB-4175-85EA-09477D2D1C9D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Claims due from other brokers for the purchase of securities.</t>
        </r>
      </text>
    </comment>
    <comment ref="A22" authorId="0" shapeId="0" xr:uid="{026B3C4A-8155-4746-8F5B-C1D20E3734BE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Amounts due or collectible from SCCP for securities sold for the account of customers or for the broker's own account.</t>
        </r>
      </text>
    </comment>
    <comment ref="A23" authorId="0" shapeId="0" xr:uid="{26422E3F-C38E-4C5C-9F66-BD8BA7065C3C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Amount of the contract price of securities which was not delivered on settlement date</t>
        </r>
      </text>
    </comment>
    <comment ref="A24" authorId="0" shapeId="0" xr:uid="{90335591-042B-434E-9A2E-4D5E7F2D666B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Market value of securities borrowed</t>
        </r>
      </text>
    </comment>
    <comment ref="A30" authorId="0" shapeId="0" xr:uid="{B46C4761-8206-4B8D-9D22-1BDB6CBE8065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Represents market value of securities used as collateral under subordination agreements.</t>
        </r>
      </text>
    </comment>
    <comment ref="A45" authorId="0" shapeId="0" xr:uid="{48CFBC77-4DA6-4F47-A26B-B35483A1ACEE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Amounts due or collectible from affiliates, subsidiaries and associated partnerships such as allocation of expenses and other intercompany charges</t>
        </r>
      </text>
    </comment>
    <comment ref="A47" authorId="0" shapeId="0" xr:uid="{4F535621-B646-4ADD-ACCF-675C3EAE32E2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Investments acquired for purposes of control, affiliation or for some continuing business advantage whose shares are not listed in the Exchange.</t>
        </r>
      </text>
    </comment>
    <comment ref="A79" authorId="0" shapeId="0" xr:uid="{4CFACE39-0B70-4162-B1C2-4B3E2025CCC9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Schedule 4_Security Valuation</t>
        </r>
      </text>
    </comment>
    <comment ref="A86" authorId="1" shapeId="0" xr:uid="{723DCB24-B71C-4302-A2B8-3EC37D44553A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Includes retirement and other staff
 benefits</t>
        </r>
      </text>
    </comment>
    <comment ref="A134" authorId="0" shapeId="0" xr:uid="{1FE19446-B4DC-4DB7-9187-99578E650CA0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Generally, where application has been filed with SEC.  Fill in details at "Others" worksheet.</t>
        </r>
      </text>
    </comment>
    <comment ref="A171" authorId="1" shapeId="0" xr:uid="{883A19A1-8D11-410C-8260-95AF4EEB8DD2}">
      <text>
        <r>
          <rPr>
            <b/>
            <sz val="8"/>
            <color indexed="81"/>
            <rFont val="Tahoma"/>
            <family val="2"/>
          </rPr>
          <t>BDD:</t>
        </r>
        <r>
          <rPr>
            <sz val="8"/>
            <color indexed="81"/>
            <rFont val="Tahoma"/>
            <family val="2"/>
          </rPr>
          <t xml:space="preserve">
Includes Directors' Fees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Rodge</author>
  </authors>
  <commentList>
    <comment ref="A18" authorId="0" shapeId="0" xr:uid="{84668981-5FD7-4CA9-A63B-9E9F2CE70946}">
      <text>
        <r>
          <rPr>
            <sz val="9"/>
            <color indexed="81"/>
            <rFont val="Tahoma"/>
            <family val="2"/>
          </rPr>
          <t xml:space="preserve">For customer receivables with positive Net Counterparty Exposure (or computed CRR)
</t>
        </r>
      </text>
    </comment>
    <comment ref="A27" authorId="0" shapeId="0" xr:uid="{D416D0E8-B129-45ED-8ECD-CF2FCBD954B3}">
      <text>
        <r>
          <rPr>
            <sz val="9"/>
            <color indexed="81"/>
            <rFont val="Tahoma"/>
            <family val="2"/>
          </rPr>
          <t xml:space="preserve">For customer receivables with positive Net Counterparty Exposure (or computed CRR)
</t>
        </r>
      </text>
    </comment>
  </commentList>
</comments>
</file>

<file path=xl/sharedStrings.xml><?xml version="1.0" encoding="utf-8"?>
<sst xmlns="http://schemas.openxmlformats.org/spreadsheetml/2006/main" count="1403" uniqueCount="1011">
  <si>
    <t>NAVIGATION PAGE</t>
  </si>
  <si>
    <t>( You don't need to print this page. )</t>
  </si>
  <si>
    <t>RISK-BASED CAPITAL</t>
  </si>
  <si>
    <t>Cash in Bank</t>
  </si>
  <si>
    <r>
      <t>OPERATIONAL RISK REQUIREMENT</t>
    </r>
    <r>
      <rPr>
        <b/>
        <u/>
        <sz val="10"/>
        <color indexed="12"/>
        <rFont val="Arial"/>
        <family val="2"/>
      </rPr>
      <t xml:space="preserve"> (ORR) </t>
    </r>
  </si>
  <si>
    <t>Trial Balance</t>
  </si>
  <si>
    <t>Placement</t>
  </si>
  <si>
    <r>
      <t xml:space="preserve">POSITION RISK REQUIREMENT </t>
    </r>
    <r>
      <rPr>
        <b/>
        <u/>
        <sz val="10"/>
        <color indexed="12"/>
        <rFont val="Arial"/>
        <family val="2"/>
      </rPr>
      <t>(PRR)</t>
    </r>
  </si>
  <si>
    <t>Financial Statements</t>
  </si>
  <si>
    <t>Marketable Securities - 25%</t>
  </si>
  <si>
    <r>
      <t xml:space="preserve">COUNTERPARTY RISK REQUIREMENT </t>
    </r>
    <r>
      <rPr>
        <b/>
        <u/>
        <sz val="10"/>
        <color indexed="12"/>
        <rFont val="Arial"/>
        <family val="2"/>
      </rPr>
      <t>(CRR)</t>
    </r>
  </si>
  <si>
    <t>Subordinated Loan</t>
  </si>
  <si>
    <t>Marketable Securities - Others (35%, etc.)</t>
  </si>
  <si>
    <t>Reserve Formula</t>
  </si>
  <si>
    <t>Core Equity</t>
  </si>
  <si>
    <t>RBC Reconciliation</t>
  </si>
  <si>
    <t>Reserve formula-detailed</t>
  </si>
  <si>
    <t>Receivables</t>
  </si>
  <si>
    <t>OTHERS - Supporting Schedules</t>
  </si>
  <si>
    <t>Unimpaired Paid-Up Capital</t>
  </si>
  <si>
    <t>LARGE EXPOSURE RISK REQUIREMENT (LERR)</t>
  </si>
  <si>
    <t>LERR1 - CLIENT</t>
  </si>
  <si>
    <t>LERR2 - DEBT</t>
  </si>
  <si>
    <t>LERR3 - ISSUER</t>
  </si>
  <si>
    <t>LERR - Client</t>
  </si>
  <si>
    <t>Debt</t>
  </si>
  <si>
    <t>General Instructions:</t>
  </si>
  <si>
    <r>
      <t xml:space="preserve">  1.  Only cells highlighted in </t>
    </r>
    <r>
      <rPr>
        <b/>
        <sz val="10"/>
        <color indexed="13"/>
        <rFont val="Arial"/>
        <family val="2"/>
      </rPr>
      <t>yellow</t>
    </r>
    <r>
      <rPr>
        <b/>
        <sz val="10"/>
        <rFont val="Arial"/>
        <family val="2"/>
      </rPr>
      <t xml:space="preserve"> are for encoding.</t>
    </r>
  </si>
  <si>
    <t>2.  All worksheets are protected.  Do not alter worksheet names nor add rows or columns.</t>
  </si>
  <si>
    <t xml:space="preserve">       You may, however, add worksheets and link cells to the existing worksheets of the template.</t>
  </si>
  <si>
    <t xml:space="preserve">       Additional cells in the existing worksheets of the template where indicated may also be used.</t>
  </si>
  <si>
    <t xml:space="preserve">   3.  Please do not add or alter any of the trial balance accounts.</t>
  </si>
  <si>
    <t>RISK-BASED CAPITAL ADEQUACY WORKSHEET</t>
  </si>
  <si>
    <t>Assets</t>
  </si>
  <si>
    <t>Liabilities</t>
  </si>
  <si>
    <t>Equity as per books</t>
  </si>
  <si>
    <t>Adjustments to Equity per books</t>
  </si>
  <si>
    <t>Add (Deduct):</t>
  </si>
  <si>
    <t xml:space="preserve">        Allowance for market decline</t>
  </si>
  <si>
    <t xml:space="preserve">        Subordinated Liabilities </t>
  </si>
  <si>
    <t xml:space="preserve">        Unrealized Gain / ( Loss ) in proprietary accounts</t>
  </si>
  <si>
    <t xml:space="preserve">        Deferred Income Tax</t>
  </si>
  <si>
    <r>
      <t xml:space="preserve">        </t>
    </r>
    <r>
      <rPr>
        <u/>
        <sz val="8"/>
        <color indexed="12"/>
        <rFont val="Arial"/>
        <family val="2"/>
      </rPr>
      <t>Minority Interest</t>
    </r>
  </si>
  <si>
    <t>Total Adjustments to Equity per books</t>
  </si>
  <si>
    <t>Equity Eligible For Net Liquid Capital</t>
  </si>
  <si>
    <t>Contingencies and Guarantees</t>
  </si>
  <si>
    <r>
      <t xml:space="preserve">Deduct:    </t>
    </r>
    <r>
      <rPr>
        <u/>
        <sz val="8"/>
        <color indexed="12"/>
        <rFont val="Arial"/>
        <family val="2"/>
      </rPr>
      <t>Contingent Liability</t>
    </r>
  </si>
  <si>
    <r>
      <t xml:space="preserve">                </t>
    </r>
    <r>
      <rPr>
        <u/>
        <sz val="8"/>
        <color indexed="12"/>
        <rFont val="Arial"/>
        <family val="2"/>
      </rPr>
      <t>Guarantees or indemnities</t>
    </r>
  </si>
  <si>
    <t>Ineligible Assets</t>
  </si>
  <si>
    <t>a. Trading Right and all Other Intangible Assets (net)</t>
  </si>
  <si>
    <t>b.  Intercompany Receivables</t>
  </si>
  <si>
    <t>c.  Fixed Assets, net of accumulated and excluding those used as collateral</t>
  </si>
  <si>
    <t>d.  Prepayment from Client for Early Settlement of Account</t>
  </si>
  <si>
    <t>e.  All Other Current Assets</t>
  </si>
  <si>
    <t>f.   Securities Not Readily Marketable</t>
  </si>
  <si>
    <t>g.  Negative Exposure (SCCP)</t>
  </si>
  <si>
    <t>h.  Notes Receivable (non-trade related)</t>
  </si>
  <si>
    <t>i.   Interest and Dividends Receivables outstanding for more than 30 days</t>
  </si>
  <si>
    <r>
      <t xml:space="preserve">j.   </t>
    </r>
    <r>
      <rPr>
        <u/>
        <sz val="8"/>
        <color indexed="12"/>
        <rFont val="Arial"/>
        <family val="2"/>
      </rPr>
      <t xml:space="preserve">Ineligible Insurance claims </t>
    </r>
  </si>
  <si>
    <r>
      <t xml:space="preserve">k.  </t>
    </r>
    <r>
      <rPr>
        <u/>
        <sz val="8"/>
        <color indexed="12"/>
        <rFont val="Arial"/>
        <family val="2"/>
      </rPr>
      <t>Ineligible Deposits</t>
    </r>
  </si>
  <si>
    <t>l.   Short Security Differences</t>
  </si>
  <si>
    <t>m. Long Security Differences not resolved prior to sale</t>
  </si>
  <si>
    <t>n.  Other Assets including Equity Investment in PSE</t>
  </si>
  <si>
    <t>Total ineligible assets</t>
  </si>
  <si>
    <t>Net Liquid Capital (NLC)</t>
  </si>
  <si>
    <t>Less:</t>
  </si>
  <si>
    <r>
      <t xml:space="preserve">          </t>
    </r>
    <r>
      <rPr>
        <u/>
        <sz val="8"/>
        <color indexed="12"/>
        <rFont val="Arial"/>
        <family val="2"/>
      </rPr>
      <t>Operational Risk Reqt (Schedule ORR-1)</t>
    </r>
  </si>
  <si>
    <r>
      <t xml:space="preserve">          </t>
    </r>
    <r>
      <rPr>
        <u/>
        <sz val="8"/>
        <color indexed="12"/>
        <rFont val="Arial"/>
        <family val="2"/>
      </rPr>
      <t>Position Risk Reqt (Schedule PRR-1)</t>
    </r>
  </si>
  <si>
    <r>
      <t xml:space="preserve">          </t>
    </r>
    <r>
      <rPr>
        <u/>
        <sz val="8"/>
        <color indexed="12"/>
        <rFont val="Arial"/>
        <family val="2"/>
      </rPr>
      <t>Counterparty Risk (Schedule CRR-1 and detailed schedules)</t>
    </r>
  </si>
  <si>
    <t xml:space="preserve">          Large Exposure Risk (Schedule LERR-1, LERR-2, LERR-3)</t>
  </si>
  <si>
    <t xml:space="preserve">              LERR to a single client (LERR-1)</t>
  </si>
  <si>
    <t xml:space="preserve">              LERR to a single debt (LERR-2)</t>
  </si>
  <si>
    <t xml:space="preserve">              LERR to a single issuer and group of companies (LERR-3)</t>
  </si>
  <si>
    <t>Total Risk Capital Requirement ( TRCR )</t>
  </si>
  <si>
    <t>Net RBCA Margin (NLC-TRCR)</t>
  </si>
  <si>
    <t>Add:  Deposit for Future Stock Subscription (No application with SEC)</t>
  </si>
  <si>
    <t>Less:  Exclusions from Aggregate Indebtedness</t>
  </si>
  <si>
    <r>
      <t xml:space="preserve">          </t>
    </r>
    <r>
      <rPr>
        <u/>
        <sz val="8"/>
        <color indexed="12"/>
        <rFont val="Arial"/>
        <family val="2"/>
      </rPr>
      <t>Subordinated Liabilites</t>
    </r>
    <r>
      <rPr>
        <sz val="8"/>
        <color indexed="12"/>
        <rFont val="Arial"/>
        <family val="2"/>
      </rPr>
      <t xml:space="preserve"> </t>
    </r>
  </si>
  <si>
    <r>
      <t xml:space="preserve">         </t>
    </r>
    <r>
      <rPr>
        <u/>
        <sz val="8"/>
        <color indexed="12"/>
        <rFont val="Arial"/>
        <family val="2"/>
      </rPr>
      <t xml:space="preserve"> Loans secured by securities</t>
    </r>
  </si>
  <si>
    <r>
      <t xml:space="preserve">          </t>
    </r>
    <r>
      <rPr>
        <u/>
        <sz val="8"/>
        <color indexed="12"/>
        <rFont val="Arial"/>
        <family val="2"/>
      </rPr>
      <t>Loans secured by fixed assets</t>
    </r>
  </si>
  <si>
    <r>
      <t xml:space="preserve">          </t>
    </r>
    <r>
      <rPr>
        <u/>
        <sz val="8"/>
        <color indexed="12"/>
        <rFont val="Arial"/>
        <family val="2"/>
      </rPr>
      <t>Others</t>
    </r>
  </si>
  <si>
    <t>Total adjustments to AI</t>
  </si>
  <si>
    <t>Aggregate Indebtedness</t>
  </si>
  <si>
    <t>5% of Aggregate Indebtedness</t>
  </si>
  <si>
    <t>Required Net Liquid Capital (&gt; of 5% of AI or P5M)</t>
  </si>
  <si>
    <t>Net Risk-based Capital Excess / ( Deficiency )</t>
  </si>
  <si>
    <t>Ratio of AI to Net Liquid Capital</t>
  </si>
  <si>
    <t>RBCA Ratio (NLC / TRCR)</t>
  </si>
  <si>
    <t>Compliance Requirements:</t>
  </si>
  <si>
    <t>AI to NLC ratio</t>
  </si>
  <si>
    <t>Minimum NLC</t>
  </si>
  <si>
    <t>Loans</t>
  </si>
  <si>
    <t>Fixed Assets Used as Collateral</t>
  </si>
  <si>
    <t>Long Security Differences not resolved prior to sale</t>
  </si>
  <si>
    <t>Contingencies</t>
  </si>
  <si>
    <t>Ineligible Deposits</t>
  </si>
  <si>
    <t>Minority Interest</t>
  </si>
  <si>
    <t>Deposit for Future Stock Subscription</t>
  </si>
  <si>
    <t xml:space="preserve">Ineligible Insurance claims </t>
  </si>
  <si>
    <t>Negative Exposure to SCCP</t>
  </si>
  <si>
    <t>Dividends Declared</t>
  </si>
  <si>
    <t>Indemnities</t>
  </si>
  <si>
    <t>Retained Earnings</t>
  </si>
  <si>
    <t>Exclusions to Aggregate Indebtedness</t>
  </si>
  <si>
    <t>Interest and Dividends Receivables (&gt;30 days)</t>
  </si>
  <si>
    <t>Short Security Differences</t>
  </si>
  <si>
    <t>Cut-off Date</t>
  </si>
  <si>
    <t>Amount:</t>
  </si>
  <si>
    <t>A</t>
  </si>
  <si>
    <t>Date of Application (if filed)</t>
  </si>
  <si>
    <t>Name of Investor</t>
  </si>
  <si>
    <t>Months Outstanding</t>
  </si>
  <si>
    <t>Amount</t>
  </si>
  <si>
    <t>B</t>
  </si>
  <si>
    <t>Subtotal</t>
  </si>
  <si>
    <t>No Application Filed Yet</t>
  </si>
  <si>
    <t>Total</t>
  </si>
  <si>
    <t>Interest and Dividends Receivables outstanding for more than 30 days</t>
  </si>
  <si>
    <t>Interest Receivable</t>
  </si>
  <si>
    <t>Dividends Receivable</t>
  </si>
  <si>
    <t>Nature of Claim</t>
  </si>
  <si>
    <t>Description</t>
  </si>
  <si>
    <t>Days Unresolved</t>
  </si>
  <si>
    <t>Opinion/Estimate provided by</t>
  </si>
  <si>
    <t>Guarantees / Indemnities</t>
  </si>
  <si>
    <t>Acquisition Cost</t>
  </si>
  <si>
    <t>Accumulated Depreciation</t>
  </si>
  <si>
    <t>Net Book Value</t>
  </si>
  <si>
    <t>Allowable for RBC</t>
  </si>
  <si>
    <t>Loan Reference</t>
  </si>
  <si>
    <t>Lender</t>
  </si>
  <si>
    <t>Reference</t>
  </si>
  <si>
    <t>Effective Date</t>
  </si>
  <si>
    <t>Maturity Date</t>
  </si>
  <si>
    <t>Original Loan Amount</t>
  </si>
  <si>
    <t>Collateral</t>
  </si>
  <si>
    <t>Loans Secured by Securities  (Details below)</t>
  </si>
  <si>
    <t>Various</t>
  </si>
  <si>
    <t>Loans Secured by Securities</t>
  </si>
  <si>
    <t>MV of Securities (Collateral)</t>
  </si>
  <si>
    <t>Other Exclusions to Aggregate Indebtedness</t>
  </si>
  <si>
    <t>Deferred Tax Liabilities</t>
  </si>
  <si>
    <t>Liabilities subordinated to claims of creditors not subject to a satisfactory subordinated agreement</t>
  </si>
  <si>
    <t>Credit balances in accounts of general partners</t>
  </si>
  <si>
    <t>Liabilities against securities failed to receive</t>
  </si>
  <si>
    <t>80% of liability against securities loaned with receivable of the same class, issue and quantity</t>
  </si>
  <si>
    <t>Others (Please specify.)</t>
  </si>
  <si>
    <t>Appropriated-Reserve Fund</t>
  </si>
  <si>
    <t>Appropriated-Others</t>
  </si>
  <si>
    <t>Unappropriated</t>
  </si>
  <si>
    <t>Cash Dividends</t>
  </si>
  <si>
    <t>Stock Dividends</t>
  </si>
  <si>
    <t xml:space="preserve">                                                                      SCHEDULE UPC-1</t>
  </si>
  <si>
    <t xml:space="preserve">                                                     UNIMPAIRED PAID-UP CAPITAL</t>
  </si>
  <si>
    <t>Date of Broker/Dealer License:</t>
  </si>
  <si>
    <t>insert mm/dd/yyyy date format</t>
  </si>
  <si>
    <t>Minimum UPC Requirement:</t>
  </si>
  <si>
    <t>Capital Account</t>
  </si>
  <si>
    <t>Account Balance</t>
  </si>
  <si>
    <t>Capital contributions of partners or par value or stated value of Common Stock</t>
  </si>
  <si>
    <t xml:space="preserve">Payment made on Subscribed Common Stock </t>
  </si>
  <si>
    <t xml:space="preserve">Par or Stated Value of Preferred Stock </t>
  </si>
  <si>
    <t xml:space="preserve">Payment made on Subscribed Preferred Stock </t>
  </si>
  <si>
    <t>Common Stock to be Distributed (arising from a Stock Dividend Declaration)</t>
  </si>
  <si>
    <t>Additional Paid in Capital for both Common and Preferred Stocks</t>
  </si>
  <si>
    <t>Donated Capital</t>
  </si>
  <si>
    <t>Treasury Stock (negative entry)</t>
  </si>
  <si>
    <t>Deficit (negative entry)</t>
  </si>
  <si>
    <t>`</t>
  </si>
  <si>
    <t>Surety Bond Requirement?</t>
  </si>
  <si>
    <t>If YES, please fill up the details:</t>
  </si>
  <si>
    <t>Date of Purchase/Renewal:</t>
  </si>
  <si>
    <t>Period Covered:</t>
  </si>
  <si>
    <t>Bond Ref #:</t>
  </si>
  <si>
    <t>WARNING!!!</t>
  </si>
  <si>
    <t>This worksheet contains references to formulae in the workbook.</t>
  </si>
  <si>
    <t>Alteration is strictly prohibited.  Otherwise, the results may be adversely affected.</t>
  </si>
  <si>
    <t>SL Haircut</t>
  </si>
  <si>
    <t>SL - Checking Remaining Term</t>
  </si>
  <si>
    <t>&gt; 3 Yr - 4 Yr</t>
  </si>
  <si>
    <t>&lt; 1 year</t>
  </si>
  <si>
    <t>&gt; 2 Yr - 3 Yr</t>
  </si>
  <si>
    <t>&gt; 1 Yr - 2 Yr</t>
  </si>
  <si>
    <t>Type of SL</t>
  </si>
  <si>
    <t>Unrealized gain/(loss) for RBC</t>
  </si>
  <si>
    <t>SL</t>
  </si>
  <si>
    <t>SDN</t>
  </si>
  <si>
    <t>Unrealized loss for RBC</t>
  </si>
  <si>
    <t>Allowance per TB</t>
  </si>
  <si>
    <t>Position Risk Factors</t>
  </si>
  <si>
    <t>Items for Checking</t>
  </si>
  <si>
    <t>Trial balance</t>
  </si>
  <si>
    <t>Marketable Securities</t>
  </si>
  <si>
    <t>Assets = Liabilities + Capital</t>
  </si>
  <si>
    <t>NAME OF THE TRADING PARTICIPANT</t>
  </si>
  <si>
    <t>TRIAL BALANCE</t>
  </si>
  <si>
    <t>mm/dd/yyyy</t>
  </si>
  <si>
    <t>Debit</t>
  </si>
  <si>
    <t>Credit</t>
  </si>
  <si>
    <t>Cash on Hand</t>
  </si>
  <si>
    <t>Petty Cash Fund</t>
  </si>
  <si>
    <t>Reserve Bank Account</t>
  </si>
  <si>
    <t>Short Term Placement</t>
  </si>
  <si>
    <t>Trading Account Securities</t>
  </si>
  <si>
    <t>Oddlot and Error Transactions</t>
  </si>
  <si>
    <t>Allowance for Market Decline</t>
  </si>
  <si>
    <t>Receivable From Customers</t>
  </si>
  <si>
    <t>Allowance for Doubtful Accounts</t>
  </si>
  <si>
    <t>Receivable from Other Brokers</t>
  </si>
  <si>
    <t>Receivable From Clearing House</t>
  </si>
  <si>
    <t>Receivable for Securities Failed to Deliver</t>
  </si>
  <si>
    <t>Receivable for Securities Borrowed</t>
  </si>
  <si>
    <t>Notes Receivable</t>
  </si>
  <si>
    <t>Other Receivables</t>
  </si>
  <si>
    <t>Secured Demand Notes</t>
  </si>
  <si>
    <t>Advances to Officers and Employees</t>
  </si>
  <si>
    <t>Advances to Suppliers</t>
  </si>
  <si>
    <t>Advances - Others</t>
  </si>
  <si>
    <t>Prepaid Rent</t>
  </si>
  <si>
    <t>Prepaid Insurance</t>
  </si>
  <si>
    <t>Prepaid Taxes and Licenses</t>
  </si>
  <si>
    <t>Prepayment from Client for Early Settlement of Account</t>
  </si>
  <si>
    <t>Other Prepayments</t>
  </si>
  <si>
    <t>Other Current Assets</t>
  </si>
  <si>
    <r>
      <t xml:space="preserve">IBODI - </t>
    </r>
    <r>
      <rPr>
        <i/>
        <sz val="10"/>
        <rFont val="Arial"/>
        <family val="2"/>
      </rPr>
      <t>Current Portion</t>
    </r>
  </si>
  <si>
    <r>
      <t xml:space="preserve">IBODI - </t>
    </r>
    <r>
      <rPr>
        <i/>
        <sz val="10"/>
        <rFont val="Arial"/>
        <family val="2"/>
      </rPr>
      <t>Long Term Portion</t>
    </r>
  </si>
  <si>
    <t>Due from Affiliates/Subsidiaries/Associated Partnerships</t>
  </si>
  <si>
    <t>Investments in Securities with No Ready Market</t>
  </si>
  <si>
    <t>Other Long Term Investments</t>
  </si>
  <si>
    <t>Equity Investment in PSE</t>
  </si>
  <si>
    <t>Trading Rights</t>
  </si>
  <si>
    <t>Accumulated Amortization - Trading Right</t>
  </si>
  <si>
    <t>Other Intangible Assets (Net of amortization)</t>
  </si>
  <si>
    <t>Land</t>
  </si>
  <si>
    <t>Land Improvements</t>
  </si>
  <si>
    <t>Building/Condominium Unit</t>
  </si>
  <si>
    <t>Accumulated Depreciation - Bldg/Condominium Unit</t>
  </si>
  <si>
    <t>Leasehold Rights and Improvements</t>
  </si>
  <si>
    <t>Accumulated Depreciation - LHI</t>
  </si>
  <si>
    <t>Furnitures and Fixtures</t>
  </si>
  <si>
    <t>Accumulated Depreciation - F/F</t>
  </si>
  <si>
    <t>Office Equipment/Computer Software/Hardware</t>
  </si>
  <si>
    <t>Accumulated Depreciation - O/E/Software/Hardware</t>
  </si>
  <si>
    <t>Transportation/Automotive Equipment</t>
  </si>
  <si>
    <t>Accumulated Depreciation - TE</t>
  </si>
  <si>
    <t>Other Fixed Assets</t>
  </si>
  <si>
    <t>Accumulated Depreciation - Others</t>
  </si>
  <si>
    <t>Refundable Deposit</t>
  </si>
  <si>
    <t>Input Tax</t>
  </si>
  <si>
    <t>Creditable Withholding Tax</t>
  </si>
  <si>
    <t>Deferred Charges</t>
  </si>
  <si>
    <t>Deferred Tax Assets</t>
  </si>
  <si>
    <t>Miscellaneous Assets</t>
  </si>
  <si>
    <t>Payable to Customers</t>
  </si>
  <si>
    <t>Payable to Clearing House</t>
  </si>
  <si>
    <t>Payable to Non-Customers</t>
  </si>
  <si>
    <t>Payable for Securities Failed to Receive</t>
  </si>
  <si>
    <t>Payable for Securities Loans</t>
  </si>
  <si>
    <t>Bank Overdrafts</t>
  </si>
  <si>
    <t xml:space="preserve">Unclaimed Dividends/Dividends Payable   </t>
  </si>
  <si>
    <t>Due to Affiliates, Officers and Employees</t>
  </si>
  <si>
    <t>Due to BIR - GRT/Final Tax/Others</t>
  </si>
  <si>
    <t>W/T - Compensation</t>
  </si>
  <si>
    <t>W/T - Expanded</t>
  </si>
  <si>
    <t>W/T - Final</t>
  </si>
  <si>
    <t>W/T - Others</t>
  </si>
  <si>
    <t>Income Tax Payable</t>
  </si>
  <si>
    <t>Other Taxes Payable</t>
  </si>
  <si>
    <t>SSS Loan Payable</t>
  </si>
  <si>
    <t>Pag-Ibig Loan Payable</t>
  </si>
  <si>
    <t>SSS Premium Payable</t>
  </si>
  <si>
    <t>Medicare/Philhealth Premium Payable</t>
  </si>
  <si>
    <t>ECC Payable</t>
  </si>
  <si>
    <t>Pag-Ibig Fund Payable</t>
  </si>
  <si>
    <t>VAT Payable</t>
  </si>
  <si>
    <t>Documentary Stamp Tax Payable</t>
  </si>
  <si>
    <t>Stock Transaction Tax Payable</t>
  </si>
  <si>
    <t>Transfer Fee Payable</t>
  </si>
  <si>
    <t>PCD Fees Payable</t>
  </si>
  <si>
    <t>SCCP Fee Payable</t>
  </si>
  <si>
    <t>Transaction Fee Payable</t>
  </si>
  <si>
    <t>Loans Payable</t>
  </si>
  <si>
    <t xml:space="preserve">Accrued Expenses </t>
  </si>
  <si>
    <t>Notes Payable</t>
  </si>
  <si>
    <t>Interest Payable</t>
  </si>
  <si>
    <t>Securities Differences</t>
  </si>
  <si>
    <t>Mortgage Payable</t>
  </si>
  <si>
    <t>Refundable Deposits</t>
  </si>
  <si>
    <t>Securities Sold Not Yet Repurchased</t>
  </si>
  <si>
    <t>Accrued Management Bonus</t>
  </si>
  <si>
    <t>Unearned Income</t>
  </si>
  <si>
    <t>Rental Deposit Payable</t>
  </si>
  <si>
    <t>Deferred Tax Liability (Unrealized Gain from Equity Inv. in PSE)</t>
  </si>
  <si>
    <t>Deferred Tax Liability (Others)</t>
  </si>
  <si>
    <t>Other Liabilities</t>
  </si>
  <si>
    <t>Subordinated Liability</t>
  </si>
  <si>
    <t>Authorized Capital Stock - Common</t>
  </si>
  <si>
    <t>Authorized Capital Stock - Preferred</t>
  </si>
  <si>
    <t>Issued and Outstanding Common Stock</t>
  </si>
  <si>
    <t>Issued and Outstanding Preferred Stock</t>
  </si>
  <si>
    <t>Subscribed Common Stock</t>
  </si>
  <si>
    <t>Subscribed Preferred Stock</t>
  </si>
  <si>
    <t>Subscription Receivable - Common Stock</t>
  </si>
  <si>
    <t>Subscription Receivable - Preferred Stock</t>
  </si>
  <si>
    <t>Additional Paid-In Capital</t>
  </si>
  <si>
    <t>Deposit for Future Subscription</t>
  </si>
  <si>
    <t>Retained Earnings, beg.</t>
  </si>
  <si>
    <t>Net Income/(Loss)</t>
  </si>
  <si>
    <t>RE, Appropriated (Reserve Fund)</t>
  </si>
  <si>
    <t>RE, Appropriated (Others)</t>
  </si>
  <si>
    <t>RE, Unappropriated</t>
  </si>
  <si>
    <t>Retained Earnings, end.</t>
  </si>
  <si>
    <t>Revaluation Increment in Property</t>
  </si>
  <si>
    <t>Treasury Stock</t>
  </si>
  <si>
    <t>Commission Income</t>
  </si>
  <si>
    <t>Gain on Sale of Maketable Securities</t>
  </si>
  <si>
    <t>Loss on Sale of Marketable Securities</t>
  </si>
  <si>
    <t>Gain on Sale of Other Assets</t>
  </si>
  <si>
    <t>Loss on Sale of Other Assets</t>
  </si>
  <si>
    <t>Rental Income</t>
  </si>
  <si>
    <t>Dividend Income</t>
  </si>
  <si>
    <t>Interest Income</t>
  </si>
  <si>
    <t>Other Income</t>
  </si>
  <si>
    <t>Recovery on Market Decline</t>
  </si>
  <si>
    <t>Unrealized Loss on Market Decline</t>
  </si>
  <si>
    <t>Salaries and Wages</t>
  </si>
  <si>
    <t>13th Month &amp; Other Employee Benefits</t>
  </si>
  <si>
    <t>Employees' Welfare</t>
  </si>
  <si>
    <t>Trainings and Seminars</t>
  </si>
  <si>
    <t>SSS Contributions</t>
  </si>
  <si>
    <t>Medicare/Philhealth Contributions</t>
  </si>
  <si>
    <t>EC Contributions</t>
  </si>
  <si>
    <t>Pag-ibig Fund Contributions</t>
  </si>
  <si>
    <t>Management Bonus</t>
  </si>
  <si>
    <t>Transportation and Travel</t>
  </si>
  <si>
    <t>Meetings and Conferences</t>
  </si>
  <si>
    <t>Representation and Entertainment</t>
  </si>
  <si>
    <t>Management Fee</t>
  </si>
  <si>
    <t>Retainer's Fee</t>
  </si>
  <si>
    <t>Professional Fees</t>
  </si>
  <si>
    <t>Stock Exchange Dues and Fees</t>
  </si>
  <si>
    <t>Condominium Dues and Fees</t>
  </si>
  <si>
    <t>PCD Fees Expenses</t>
  </si>
  <si>
    <t>Rent</t>
  </si>
  <si>
    <t>Light &amp; Water</t>
  </si>
  <si>
    <t>Insurance</t>
  </si>
  <si>
    <t>Office Supplies</t>
  </si>
  <si>
    <t xml:space="preserve">Commission </t>
  </si>
  <si>
    <t>Amortization</t>
  </si>
  <si>
    <t>Depreciation - Bldg/Condominium</t>
  </si>
  <si>
    <t>Depreciation - Leasehold Rights and Improvements</t>
  </si>
  <si>
    <t>Depreciation - Furnitures &amp; Fixtures</t>
  </si>
  <si>
    <t>Depreciation - Office Equipment</t>
  </si>
  <si>
    <t>Depreciation - Transportation/Automotive Equipment</t>
  </si>
  <si>
    <t>Depreciation - ROPOA</t>
  </si>
  <si>
    <t>Depreciation - Others</t>
  </si>
  <si>
    <t>Taxes &amp; Licenses</t>
  </si>
  <si>
    <t>Postage, Telephone &amp; Communication</t>
  </si>
  <si>
    <t>Security, Messengerial and Janitorial</t>
  </si>
  <si>
    <t>Gas &amp; Oil</t>
  </si>
  <si>
    <t>Repairs &amp; Maintenance</t>
  </si>
  <si>
    <t>Advertising &amp; Promotions</t>
  </si>
  <si>
    <t>Bank Charges</t>
  </si>
  <si>
    <t>Photocopies</t>
  </si>
  <si>
    <t>Subscription and Periodicals</t>
  </si>
  <si>
    <t>Interest Expense</t>
  </si>
  <si>
    <t>Miscellaneous</t>
  </si>
  <si>
    <t>Provision for Income Tax</t>
  </si>
  <si>
    <t>Other Expenses</t>
  </si>
  <si>
    <t>TOTAL</t>
  </si>
  <si>
    <t>SUMMARY OF SUBORDINATED LOAN</t>
  </si>
  <si>
    <t xml:space="preserve">SSA </t>
  </si>
  <si>
    <t>Term</t>
  </si>
  <si>
    <t>Name of Lender</t>
  </si>
  <si>
    <t xml:space="preserve">Relationship of </t>
  </si>
  <si>
    <t>Orig. SL Number</t>
  </si>
  <si>
    <t>Orig. Loan Date</t>
  </si>
  <si>
    <t>Amount of Loan</t>
  </si>
  <si>
    <t>Interest Rate</t>
  </si>
  <si>
    <t xml:space="preserve">Market </t>
  </si>
  <si>
    <t>MV of</t>
  </si>
  <si>
    <t>Excess/(Shortage)</t>
  </si>
  <si>
    <t>Number</t>
  </si>
  <si>
    <t>Remaining</t>
  </si>
  <si>
    <t xml:space="preserve">the Lender to  </t>
  </si>
  <si>
    <t>Type of  SL*</t>
  </si>
  <si>
    <t>Value of</t>
  </si>
  <si>
    <t>of MV of Collateral</t>
  </si>
  <si>
    <t>Allowable</t>
  </si>
  <si>
    <t>GUIDE</t>
  </si>
  <si>
    <t>Term*</t>
  </si>
  <si>
    <t>the Broker</t>
  </si>
  <si>
    <t>(SDN or SL)</t>
  </si>
  <si>
    <t>Collateral*</t>
  </si>
  <si>
    <t>( Net of</t>
  </si>
  <si>
    <t>over SL*</t>
  </si>
  <si>
    <t xml:space="preserve"> for RBC</t>
  </si>
  <si>
    <t>Don't delete these cells!!!</t>
  </si>
  <si>
    <t>Haircut )</t>
  </si>
  <si>
    <t>REFERENCE SHEET</t>
  </si>
  <si>
    <t>Please provide details in Schedule 1_Cash in Bank</t>
  </si>
  <si>
    <t>Reserved Bank Account</t>
  </si>
  <si>
    <t>Please provide details in Schedule 1_ Cash in Bank</t>
  </si>
  <si>
    <t>Short Term Placement/Investments</t>
  </si>
  <si>
    <t>Please provide details in Schedule 2_Placement</t>
  </si>
  <si>
    <t>Investments of funds available for current operations and are intended to meet working capital requirement.</t>
  </si>
  <si>
    <t>This includes bonds,commercial papers,govt obligations and certificates of deposits.</t>
  </si>
  <si>
    <t>Please provide details in Schedule 4_Security Valuation</t>
  </si>
  <si>
    <t>Claims due from customers of the business for the purchase of securities.</t>
  </si>
  <si>
    <t>Receivable from Non Customers</t>
  </si>
  <si>
    <t>Amounts due or collectible from officers, employees and other persons associated with the company</t>
  </si>
  <si>
    <t>Claims due from other brokers for the purchase of securities.</t>
  </si>
  <si>
    <t>Amounts due or collectible from SCCP for securities sold for the account of customers or for the broker's own account.</t>
  </si>
  <si>
    <t>Amount of the contract price of securities which was not delivered on settlement date</t>
  </si>
  <si>
    <t>Market value of securities borrowed</t>
  </si>
  <si>
    <t>Represents market value of securities used as collateral under subordination agreements.</t>
  </si>
  <si>
    <t>Amounts due or collectible from affiliates, subsidiaries and associated partnerships such as allocation of expenses and other intercompany charges</t>
  </si>
  <si>
    <t>Investments acquired for purposes of control, affiliation or for some continuing business advantage whose shares are not listed in the Exchange.</t>
  </si>
  <si>
    <t>Includes retirement and other staff  benefits</t>
  </si>
  <si>
    <t>Please fill in details at "Others" worksheet.</t>
  </si>
  <si>
    <t xml:space="preserve">Generally where application has been filed with SEC.  </t>
  </si>
  <si>
    <t>Where no application has been filed with SEC, this forms part of aggregate indebtedness</t>
  </si>
  <si>
    <t>Control No. ____________________</t>
  </si>
  <si>
    <t>Form Type: BDFS</t>
  </si>
  <si>
    <t>SPECIAL FORM FOR FINANCIAL STATEMENTS OF</t>
  </si>
  <si>
    <t>BROKER DEALERS IN SECURITIES</t>
  </si>
  <si>
    <t>PSIC            OLD:    _____________________       NEW:_____________________</t>
  </si>
  <si>
    <t>Table 1. Balance Sheet</t>
  </si>
  <si>
    <t>A.  ASSETS (A.1+A.2+A.3+A.4+A.5+A.6+A.7+A.8)</t>
  </si>
  <si>
    <t>A.1 Current Assets (A.1.1+.A.1.2+A.1.3+A.1.4+A.1.5+A.1.6+A.1.7)</t>
  </si>
  <si>
    <t>A.1.1 Cash and Cash Equivalents</t>
  </si>
  <si>
    <t xml:space="preserve">A.1.1.1 Cash on hand and in bank                                                        </t>
  </si>
  <si>
    <t>A.1.1.2 Reserve Bank Account</t>
  </si>
  <si>
    <t xml:space="preserve">A.1.2 Short-Term Investments                              </t>
  </si>
  <si>
    <t>A.1.3 Propriety Security Owned (A.1.3.1+A.1.3.2+A.1.3.3)</t>
  </si>
  <si>
    <t xml:space="preserve">             A.1.3.1   Trading account Securities                   </t>
  </si>
  <si>
    <t xml:space="preserve">             A.1.3.2   Oddlot and Error Transactions            </t>
  </si>
  <si>
    <t xml:space="preserve">             A.1.3.3    Allowance for market decline in values of </t>
  </si>
  <si>
    <r>
      <t xml:space="preserve">                           Proprietary Securities Owned</t>
    </r>
    <r>
      <rPr>
        <b/>
        <sz val="10"/>
        <rFont val="Arial"/>
        <family val="2"/>
      </rPr>
      <t xml:space="preserve"> (negative entry)</t>
    </r>
  </si>
  <si>
    <t>A.1.4 Receivables   (A.1.4.1+A.1.4.2+A.1.4.3+A.1.4.4+A.1.4.5</t>
  </si>
  <si>
    <t xml:space="preserve">         +A.1.4.6+A.1.4.7+A.1.4.8+A.1.4.9)         </t>
  </si>
  <si>
    <t xml:space="preserve">           A.1.4.1   Receivable from Customers                  </t>
  </si>
  <si>
    <t xml:space="preserve">           A.1.4.2   Receivable from other Brokers                   </t>
  </si>
  <si>
    <t xml:space="preserve">           A.1.4.3   Receivable from Clearing House            </t>
  </si>
  <si>
    <t xml:space="preserve">           A.1.4.4   Receivable for Securities Failed to Deliver</t>
  </si>
  <si>
    <t xml:space="preserve">           A.1.4.5   Receivable for Securities Borrowed         </t>
  </si>
  <si>
    <t xml:space="preserve">           A.1.4.6   Notes Receivable                                 </t>
  </si>
  <si>
    <t xml:space="preserve">           A.1.4.7   Dividends Receivable                             </t>
  </si>
  <si>
    <t xml:space="preserve">           A.1.4.8   Interest Receivable                               </t>
  </si>
  <si>
    <t xml:space="preserve">           A.1.4.9   Other Receivables                               </t>
  </si>
  <si>
    <t xml:space="preserve">           A.1.4.10 Allowance for doubtful accounts/ Allowance for bad </t>
  </si>
  <si>
    <r>
      <t xml:space="preserve">                        debts or probable losses </t>
    </r>
    <r>
      <rPr>
        <b/>
        <sz val="10"/>
        <rFont val="Arial"/>
        <family val="2"/>
      </rPr>
      <t>(negative entry)</t>
    </r>
  </si>
  <si>
    <t xml:space="preserve">A.1.5 Secured Demand Notes                                           </t>
  </si>
  <si>
    <t xml:space="preserve">A.1.6 Loans and Advances  (A.1.6.1+A.1.6.2+A.1.6.3)                              </t>
  </si>
  <si>
    <t>A.1.6.1 Advances to Officers and Employees</t>
  </si>
  <si>
    <t>A.1.6.2 Advances to Suppliers</t>
  </si>
  <si>
    <t>A.1.6.3 Advances-Others</t>
  </si>
  <si>
    <t xml:space="preserve">A.1.7 Other current assets  (A.1.7.1+A.1.7.2)                            </t>
  </si>
  <si>
    <t>A.1.7.1 Prepayments</t>
  </si>
  <si>
    <t>A.1.7.2 Prepayment from Client for Early Settlement of Account</t>
  </si>
  <si>
    <t>A.1.7.3 Others</t>
  </si>
  <si>
    <t>A.2 Equity Investment in PSE</t>
  </si>
  <si>
    <t>A.3 Receivable from Affiliates / Subsidiaries / Associated Partnerships</t>
  </si>
  <si>
    <t xml:space="preserve">A.4 Investments in Securities with No Ready Market        </t>
  </si>
  <si>
    <t>A.5 Other Long Term Investments</t>
  </si>
  <si>
    <t>A.6 Property and Equipment</t>
  </si>
  <si>
    <t>(A.6.1+A.6.2+A.6.3+A.6.4+A.6.5+A.6.6+A.6.7)</t>
  </si>
  <si>
    <t xml:space="preserve">         </t>
  </si>
  <si>
    <t>A.6.1   Land</t>
  </si>
  <si>
    <t>A.6.2   Land Improvements</t>
  </si>
  <si>
    <t xml:space="preserve">A.6.3   Building and improvements including leasehold  </t>
  </si>
  <si>
    <t xml:space="preserve">               improvements</t>
  </si>
  <si>
    <t>A.6.4   Furniture and fixtures</t>
  </si>
  <si>
    <t>A.6.5   Office equipment/Computer Software/Hardware</t>
  </si>
  <si>
    <t>A.6.6   Transportation / Automotive equipment</t>
  </si>
  <si>
    <t>A.6.7   Others</t>
  </si>
  <si>
    <t>A.6.7.1 Other Fixed Assets</t>
  </si>
  <si>
    <r>
      <t>A.6.8   Accumulated Depreciation</t>
    </r>
    <r>
      <rPr>
        <b/>
        <sz val="10"/>
        <rFont val="Arial"/>
        <family val="2"/>
      </rPr>
      <t xml:space="preserve"> (negative only)</t>
    </r>
  </si>
  <si>
    <t>A.7 Intangible assets (A.7.1+A.7.2)</t>
  </si>
  <si>
    <t xml:space="preserve">    A.7.1   Trading Rights</t>
  </si>
  <si>
    <t xml:space="preserve">    A.7.2   Others</t>
  </si>
  <si>
    <t>A.8 Other Assets (A.8.1+A.8.2+A.8.3)</t>
  </si>
  <si>
    <t xml:space="preserve">    A.8.1   Deferred Tax Assets</t>
  </si>
  <si>
    <t xml:space="preserve">    A.8.2   Others</t>
  </si>
  <si>
    <t xml:space="preserve">    A.8.3   Miscellaneous Assets </t>
  </si>
  <si>
    <t>B.  LIABILITIES (B.1+B.2+B.3+B.4+B.5+B.6+B.7+B.8)</t>
  </si>
  <si>
    <t>B.1 Current Liabilities (B.1.1+B.1.2+B.1.3+B.1.4+B.1.5</t>
  </si>
  <si>
    <t>B.1.6+B.1.7+B.1.8+B.1.9+B.1.10+B.1.11+B.1.12+B.1.13)</t>
  </si>
  <si>
    <t>B.1.1</t>
  </si>
  <si>
    <t>B.1.2</t>
  </si>
  <si>
    <t>B.1.3</t>
  </si>
  <si>
    <t>B.1.4</t>
  </si>
  <si>
    <t>Payable for Securities failed to receive</t>
  </si>
  <si>
    <t>B.1.5</t>
  </si>
  <si>
    <t>Payable for Securities loans</t>
  </si>
  <si>
    <t>B.1.6</t>
  </si>
  <si>
    <t>B.1.7</t>
  </si>
  <si>
    <t>Accrued Expenses</t>
  </si>
  <si>
    <t>B.1.8</t>
  </si>
  <si>
    <t>Unclaimed dividends/Dividends Payable</t>
  </si>
  <si>
    <t>B.1.9</t>
  </si>
  <si>
    <t xml:space="preserve">Interest Payable </t>
  </si>
  <si>
    <t>B.1.10</t>
  </si>
  <si>
    <t>B.1.11</t>
  </si>
  <si>
    <t>B.1.12</t>
  </si>
  <si>
    <t xml:space="preserve">Due to affiliates, advances from parent </t>
  </si>
  <si>
    <t>company, inter-company payable</t>
  </si>
  <si>
    <t>B.2</t>
  </si>
  <si>
    <t>Taxes Payable</t>
  </si>
  <si>
    <t>B.3</t>
  </si>
  <si>
    <t>B.4</t>
  </si>
  <si>
    <t>B.5</t>
  </si>
  <si>
    <t>Bank Loans Payable</t>
  </si>
  <si>
    <t>B.6</t>
  </si>
  <si>
    <t>B.7</t>
  </si>
  <si>
    <t>B.8</t>
  </si>
  <si>
    <t xml:space="preserve">Other Liabilities </t>
  </si>
  <si>
    <t>B.8.1</t>
  </si>
  <si>
    <t>B.8.2</t>
  </si>
  <si>
    <t>SSS/Pag-ibig/Medicare/ECC Payables</t>
  </si>
  <si>
    <t>B.8.3</t>
  </si>
  <si>
    <t>Transfer Fee/PCD/SCCP Payables</t>
  </si>
  <si>
    <t>B.8.4</t>
  </si>
  <si>
    <t>Other Payables</t>
  </si>
  <si>
    <t>C. STOCKHOLDERS' EQUITY (C.2+C.3+C.4+C.5)</t>
  </si>
  <si>
    <t xml:space="preserve">C.1 </t>
  </si>
  <si>
    <t>Authorized Capital Stocks - no. shares, par value and total</t>
  </si>
  <si>
    <t>value (show details, memo entry)</t>
  </si>
  <si>
    <t>C.2</t>
  </si>
  <si>
    <t>Paid-in Capital (no. of shares, par value and total value)</t>
  </si>
  <si>
    <t>C.2.1</t>
  </si>
  <si>
    <t xml:space="preserve">Preferred shares </t>
  </si>
  <si>
    <t>C.2.2</t>
  </si>
  <si>
    <t xml:space="preserve">Common shares </t>
  </si>
  <si>
    <t>C.2.3</t>
  </si>
  <si>
    <t>Additional Paid-in Capital</t>
  </si>
  <si>
    <t>C.3</t>
  </si>
  <si>
    <t>C.4</t>
  </si>
  <si>
    <t>C.5</t>
  </si>
  <si>
    <t>Equity share in the revaluation increment of</t>
  </si>
  <si>
    <t>property / revaluation surplus</t>
  </si>
  <si>
    <t>C.6</t>
  </si>
  <si>
    <t>Retained Earnings (C.6.1+C.6.2)</t>
  </si>
  <si>
    <t>C.6.1</t>
  </si>
  <si>
    <t>Appropriated - Reserve Fund</t>
  </si>
  <si>
    <t>C.6.2</t>
  </si>
  <si>
    <t>Appropriated - Others</t>
  </si>
  <si>
    <t>C.6.3</t>
  </si>
  <si>
    <t>C.7</t>
  </si>
  <si>
    <r>
      <t>Treasury stock</t>
    </r>
    <r>
      <rPr>
        <b/>
        <sz val="10"/>
        <rFont val="Arial"/>
        <family val="2"/>
      </rPr>
      <t xml:space="preserve"> (negative entry)</t>
    </r>
  </si>
  <si>
    <r>
      <t>TOTAL LIABILITIES AND STOCKHOLDERS' EQUITY (</t>
    </r>
    <r>
      <rPr>
        <b/>
        <sz val="8"/>
        <rFont val="Arial"/>
        <family val="2"/>
      </rPr>
      <t>B + C</t>
    </r>
    <r>
      <rPr>
        <b/>
        <sz val="10"/>
        <rFont val="Arial"/>
        <family val="2"/>
      </rPr>
      <t>)</t>
    </r>
  </si>
  <si>
    <t>Table 2a: Income Statement/(Profit and Loss Statement) and Retained Earnings Statement</t>
  </si>
  <si>
    <t>A. INCOME / REVENUE ( A.1+A.2)</t>
  </si>
  <si>
    <t xml:space="preserve">A.1 </t>
  </si>
  <si>
    <t>A.2</t>
  </si>
  <si>
    <t xml:space="preserve">Other Income </t>
  </si>
  <si>
    <t>Gain on Sale of Marketable Securities</t>
  </si>
  <si>
    <t>B. EXPENSES (B.1+B.2+B.3+B.4+B.5)</t>
  </si>
  <si>
    <t>B.1</t>
  </si>
  <si>
    <t>Commission Expenses</t>
  </si>
  <si>
    <t>General/Administrative and Operating Expenses</t>
  </si>
  <si>
    <t>Taxes and Licenses</t>
  </si>
  <si>
    <t>Depreciation and Amortization</t>
  </si>
  <si>
    <t xml:space="preserve">Other Expenses </t>
  </si>
  <si>
    <t>Miscellaneous Expenses</t>
  </si>
  <si>
    <r>
      <t>C. INCOME / (LOSS) BEFORE TAXES (</t>
    </r>
    <r>
      <rPr>
        <b/>
        <sz val="8"/>
        <rFont val="Arial"/>
        <family val="2"/>
      </rPr>
      <t>A - B</t>
    </r>
    <r>
      <rPr>
        <b/>
        <sz val="10"/>
        <rFont val="Arial"/>
        <family val="2"/>
      </rPr>
      <t>)</t>
    </r>
  </si>
  <si>
    <r>
      <t xml:space="preserve">D. PROVISION FOR (BENEFIT FROM - </t>
    </r>
    <r>
      <rPr>
        <b/>
        <u/>
        <sz val="10"/>
        <rFont val="Arial"/>
        <family val="2"/>
      </rPr>
      <t>negative entry)</t>
    </r>
  </si>
  <si>
    <r>
      <t xml:space="preserve">    </t>
    </r>
    <r>
      <rPr>
        <b/>
        <sz val="10"/>
        <rFont val="Arial"/>
        <family val="2"/>
      </rPr>
      <t>INCOME TAX</t>
    </r>
  </si>
  <si>
    <r>
      <t>E. NET INCOME / LOSS AFTER TAX (</t>
    </r>
    <r>
      <rPr>
        <b/>
        <sz val="8"/>
        <rFont val="Arial"/>
        <family val="2"/>
      </rPr>
      <t>C - D</t>
    </r>
    <r>
      <rPr>
        <b/>
        <sz val="10"/>
        <rFont val="Arial"/>
        <family val="2"/>
      </rPr>
      <t>)</t>
    </r>
  </si>
  <si>
    <t>F. RETAINED EARNINGS (beginning of the year)</t>
  </si>
  <si>
    <r>
      <t>G. DIVIDENDS DECLARED (</t>
    </r>
    <r>
      <rPr>
        <b/>
        <sz val="8"/>
        <rFont val="Arial"/>
        <family val="2"/>
      </rPr>
      <t>G.1+G.2</t>
    </r>
    <r>
      <rPr>
        <b/>
        <sz val="10"/>
        <rFont val="Arial"/>
        <family val="2"/>
      </rPr>
      <t>)</t>
    </r>
  </si>
  <si>
    <r>
      <t xml:space="preserve">G.1 Cash </t>
    </r>
    <r>
      <rPr>
        <b/>
        <sz val="10"/>
        <rFont val="Arial"/>
        <family val="2"/>
      </rPr>
      <t>(negative entry)</t>
    </r>
  </si>
  <si>
    <r>
      <t>G.2 Stock</t>
    </r>
    <r>
      <rPr>
        <b/>
        <sz val="10"/>
        <rFont val="Arial"/>
        <family val="2"/>
      </rPr>
      <t xml:space="preserve"> (negative entry)</t>
    </r>
  </si>
  <si>
    <t>I. RETAINED EARNINGS (end of year)</t>
  </si>
  <si>
    <t>MARKETABLE SECURITIES AND INVESTMENTS</t>
  </si>
  <si>
    <t>Cost</t>
  </si>
  <si>
    <t xml:space="preserve">Market Value </t>
  </si>
  <si>
    <t>Unrealized Loss / ( Gain )</t>
  </si>
  <si>
    <t>Equities in the PHISIX</t>
  </si>
  <si>
    <t>Equities outside the PHISIX</t>
  </si>
  <si>
    <t>Total Marketable Securities</t>
  </si>
  <si>
    <t xml:space="preserve">Equities not traded in Exchange </t>
  </si>
  <si>
    <t xml:space="preserve">Total </t>
  </si>
  <si>
    <t>Stocks</t>
  </si>
  <si>
    <t>No. of Shares</t>
  </si>
  <si>
    <t>Unit Cost</t>
  </si>
  <si>
    <t>Total Cost</t>
  </si>
  <si>
    <t>Per Share</t>
  </si>
  <si>
    <t>Market Value</t>
  </si>
  <si>
    <t>SECURITIES OUTSIDE PHISIX AND OTHER INVESTMENTS</t>
  </si>
  <si>
    <t>Other Equities outside the PHISIX</t>
  </si>
  <si>
    <t>Various ( Please provide separate schedule )</t>
  </si>
  <si>
    <t>Equities not traded in Exchange but proven to be marketable</t>
  </si>
  <si>
    <t xml:space="preserve">                                                                      SCHEDULE CE-1</t>
  </si>
  <si>
    <t xml:space="preserve">                                                          MANUAL COMPUTATION OF CORE EQUITY</t>
  </si>
  <si>
    <t>Paid-up common stock;</t>
  </si>
  <si>
    <t>Paid-up perpetual and non-cumulative preferred stock</t>
  </si>
  <si>
    <t>Common stock dividends distributable</t>
  </si>
  <si>
    <t>Perpetual and non-cumulative preferred stock dividends distributable;</t>
  </si>
  <si>
    <t>Additional Paid In Capital</t>
  </si>
  <si>
    <t>Surplus reserves excluding revaluation reserves or appraisal capital;</t>
  </si>
  <si>
    <t>Opening retained earnings adjusted for all current year movements</t>
  </si>
  <si>
    <t>Total Core Equity</t>
  </si>
  <si>
    <t>Note: Exclusions in the computation of Core Equity</t>
  </si>
  <si>
    <t>(1)  Common stock treasury shares</t>
  </si>
  <si>
    <t>(2)  Perpetual  and non-cumulative preferred stock treasury shares;</t>
  </si>
  <si>
    <t>(3)  Unbooked valuation reserves and other capital adjustments (such as unrealized gain in value of noncurrent investments)</t>
  </si>
  <si>
    <t>SCHEDULE OF CASH IN BANK (net debit and net credit)</t>
  </si>
  <si>
    <t>I.  Schedule of Banks with Net Debit Amount:</t>
  </si>
  <si>
    <t>Net Debit</t>
  </si>
  <si>
    <r>
      <t xml:space="preserve">Bank Account Details </t>
    </r>
    <r>
      <rPr>
        <b/>
        <sz val="10"/>
        <color indexed="12"/>
        <rFont val="Arial"/>
        <family val="2"/>
      </rPr>
      <t>(Bank, (SA or CA), Acct. No.)</t>
    </r>
  </si>
  <si>
    <t>Account #</t>
  </si>
  <si>
    <t>Currency</t>
  </si>
  <si>
    <r>
      <t xml:space="preserve">Various </t>
    </r>
    <r>
      <rPr>
        <sz val="10"/>
        <color indexed="12"/>
        <rFont val="Arial"/>
        <family val="2"/>
      </rPr>
      <t>( Provide details below Row 60 and link to Cell E25 )</t>
    </r>
  </si>
  <si>
    <t>II.  Schedule of Banks with Net Credit Amount (Bank Overdraft)</t>
  </si>
  <si>
    <t>Net Credit</t>
  </si>
  <si>
    <t>Bank Account Details</t>
  </si>
  <si>
    <t>III.  Reserve Bank Account</t>
  </si>
  <si>
    <t>If for DDS, kindly indicate "DDS"</t>
  </si>
  <si>
    <t>Various:</t>
  </si>
  <si>
    <t>MONEY MARKET PLACEMENTS/INVESTMENTS IN BONDS AND OTHER DEBT INSTRUMENTS (IBODI)</t>
  </si>
  <si>
    <t>T-Bills/Placements*</t>
  </si>
  <si>
    <t>Principal Amount</t>
  </si>
  <si>
    <t>Rate (%)</t>
  </si>
  <si>
    <t>Maturity Value</t>
  </si>
  <si>
    <t>I.  Money Market Placements</t>
  </si>
  <si>
    <t>Various ( Provide details below Row 85 )</t>
  </si>
  <si>
    <t>II. A  IBODI - Private  ( &lt;=30 days )</t>
  </si>
  <si>
    <t>II. B  IBODI - Private  ( &gt; 30 days but &lt;= 1 year )</t>
  </si>
  <si>
    <t>II.C   IBODI - Private  ( &gt; 1 year )</t>
  </si>
  <si>
    <t>III.A   IBODI - Government  (&lt;= 1 year )</t>
  </si>
  <si>
    <t>III.B   IBODI - Government ( &gt; 1 year )</t>
  </si>
  <si>
    <t>*Should be properly enumerated with supports attached.</t>
  </si>
  <si>
    <t>Schedule of Receivables</t>
  </si>
  <si>
    <t>Aging</t>
  </si>
  <si>
    <t>Balance</t>
  </si>
  <si>
    <t>Collateral (net of haircut)</t>
  </si>
  <si>
    <t>Counterparty Exposure after Collateral</t>
  </si>
  <si>
    <t>Allowance for Bad Debts</t>
  </si>
  <si>
    <t>Net Exposure</t>
  </si>
  <si>
    <t>Counterparty Weight (%)</t>
  </si>
  <si>
    <t>Credit Risk Factor (CRF%)</t>
  </si>
  <si>
    <t>Credit Risk Requirement</t>
  </si>
  <si>
    <t>T to T + 1 of counterparty</t>
  </si>
  <si>
    <t>T + 2 to T + 12 of counterparty</t>
  </si>
  <si>
    <t>T +13 to T + 30 of counterparty</t>
  </si>
  <si>
    <t>Beyond T + 30 of counterparty</t>
  </si>
  <si>
    <t>Others</t>
  </si>
  <si>
    <r>
      <t>Others (</t>
    </r>
    <r>
      <rPr>
        <i/>
        <sz val="10"/>
        <rFont val="Arial"/>
        <family val="2"/>
      </rPr>
      <t>with computed CRR</t>
    </r>
    <r>
      <rPr>
        <sz val="10"/>
        <rFont val="Arial"/>
        <family val="2"/>
      </rPr>
      <t>)</t>
    </r>
  </si>
  <si>
    <t>Exchange/Non-exchange TP with Restrictions</t>
  </si>
  <si>
    <t>Counterparties subj. to 20% Weight</t>
  </si>
  <si>
    <t>Counterparties subj. to 50% Weight</t>
  </si>
  <si>
    <t>Government - Natl. govt./BSP</t>
  </si>
  <si>
    <t>Unsettled Principal Trades</t>
  </si>
  <si>
    <t>T + 2 to T + 12 of Counterparty</t>
  </si>
  <si>
    <t>Beyond T + 13 of Counterparty</t>
  </si>
  <si>
    <t>ADJUSTED SECURITY VALUATION</t>
  </si>
  <si>
    <t>CUSTOMERS' ACCOUNTS</t>
  </si>
  <si>
    <t xml:space="preserve">Adjusted </t>
  </si>
  <si>
    <t>Adjusted</t>
  </si>
  <si>
    <t>Money Balance</t>
  </si>
  <si>
    <t>Security Valuation</t>
  </si>
  <si>
    <t>Particulars</t>
  </si>
  <si>
    <t>Long</t>
  </si>
  <si>
    <t>Short</t>
  </si>
  <si>
    <t>Unsecured</t>
  </si>
  <si>
    <t>Due From Customers</t>
  </si>
  <si>
    <t>Cash Account:</t>
  </si>
  <si>
    <t xml:space="preserve"> </t>
  </si>
  <si>
    <t>More than 250%</t>
  </si>
  <si>
    <t>Between 200% to 250%</t>
  </si>
  <si>
    <t>Between 150% to 200%</t>
  </si>
  <si>
    <t>Between 100% to 150%</t>
  </si>
  <si>
    <t>Less than 100%</t>
  </si>
  <si>
    <t xml:space="preserve">       SUBTOTAL</t>
  </si>
  <si>
    <t>Margin Account:</t>
  </si>
  <si>
    <t xml:space="preserve">       TOTAL</t>
  </si>
  <si>
    <t>Due to Customers</t>
  </si>
  <si>
    <t>Free Balances</t>
  </si>
  <si>
    <t xml:space="preserve">     With Money Balances</t>
  </si>
  <si>
    <t xml:space="preserve">     No Money Balances</t>
  </si>
  <si>
    <t>With Short Position</t>
  </si>
  <si>
    <t xml:space="preserve">      With Money Balances</t>
  </si>
  <si>
    <t xml:space="preserve">      No Money Balances</t>
  </si>
  <si>
    <t xml:space="preserve">      TOTAL</t>
  </si>
  <si>
    <t>MANAGEMENT TOTAL</t>
  </si>
  <si>
    <t>BROKERS' ACCOUNTS</t>
  </si>
  <si>
    <t>SCHEDULE ORR-1</t>
  </si>
  <si>
    <t xml:space="preserve">MANUAL COMPUTATION OF OPERATIONAL RISK REQUIREMENT (ORR) </t>
  </si>
  <si>
    <t>Type of Revenue/Income</t>
  </si>
  <si>
    <t>CURRENT YR</t>
  </si>
  <si>
    <t>YEAR -1</t>
  </si>
  <si>
    <t>YEAR-2</t>
  </si>
  <si>
    <t>AVE (sum/ 3)</t>
  </si>
  <si>
    <t>Net Recovery from market decline of    Marketable Securities Owned</t>
  </si>
  <si>
    <t>Gain on Sale of other Assets</t>
  </si>
  <si>
    <t>Other Income/Revenues</t>
  </si>
  <si>
    <t>Total Revenue/Income</t>
  </si>
  <si>
    <t>Average of Last 3 Years' Gross Income</t>
  </si>
  <si>
    <t>Operational Risk Factor</t>
  </si>
  <si>
    <t>Total Operational Risk Requirement</t>
  </si>
  <si>
    <t xml:space="preserve"> (3-year average x Operational risk factor)</t>
  </si>
  <si>
    <t>SCHEDULE CRR-1</t>
  </si>
  <si>
    <t>MANUAL COMPUTATION OF COUNTERPARTY RISK REQUIREMENT (CRR) FOR ALL TYPES OF SECURITIES (IN AGGREGATE)</t>
  </si>
  <si>
    <t>No.</t>
  </si>
  <si>
    <t>Counterparty Name</t>
  </si>
  <si>
    <t>Debt Aging Period (no. of market days overdue)</t>
  </si>
  <si>
    <t xml:space="preserve">Counterparty Exposure (Php) </t>
  </si>
  <si>
    <t>Discounted Collaterals and/or value of provisions made (Php)</t>
  </si>
  <si>
    <t>Net Counterparty Exposure (Php)</t>
  </si>
  <si>
    <t>CRR   (Php)</t>
  </si>
  <si>
    <t>(a)</t>
  </si>
  <si>
    <t>(b)</t>
  </si>
  <si>
    <t>( c )         [c=a-b]</t>
  </si>
  <si>
    <t>(d)</t>
  </si>
  <si>
    <t>(e)</t>
  </si>
  <si>
    <t>(f)   (f=cxdxe)</t>
  </si>
  <si>
    <t>Unsettled Customer trades</t>
  </si>
  <si>
    <t>Unsettled Principal  trades</t>
  </si>
  <si>
    <t>Debts/Loans, Contra Losses and other amounts due</t>
  </si>
  <si>
    <t>Free Deliveries</t>
  </si>
  <si>
    <t>Securities Borrowing and Lending</t>
  </si>
  <si>
    <t>Margin Financing Lending</t>
  </si>
  <si>
    <t>Others (pls. Specify)</t>
  </si>
  <si>
    <t>Grand Total of CRR</t>
  </si>
  <si>
    <t>*Prepare separate schedules (following the same format) showing breakdown of each major type of counterparty risk requirement</t>
  </si>
  <si>
    <t>SCHEDULE PRR-1</t>
  </si>
  <si>
    <t>MANUAL COMPUTATION OF POSITION RISK REQUIREMENT (PRR) FOR FIXED INCOME AND EQUITY SECURITIES</t>
  </si>
  <si>
    <t>Type of Instrument/Security</t>
  </si>
  <si>
    <t>Time to Maturity             [The difference between reporting date and the Maturity Date of FI Securities (months/years)]</t>
  </si>
  <si>
    <t>Total Market Value of the Instrument/
Securities (Php)</t>
  </si>
  <si>
    <t>Position Risk Factors (PRFs)</t>
  </si>
  <si>
    <t>PRR        (Php)</t>
  </si>
  <si>
    <t>Republic of the Philippines</t>
  </si>
  <si>
    <t>Up to one (1) year</t>
  </si>
  <si>
    <t>&gt; 1 to 5 years</t>
  </si>
  <si>
    <t>&gt; 5 to 10 years</t>
  </si>
  <si>
    <t>&gt; 10 to 20 years</t>
  </si>
  <si>
    <t>&gt; 20 years</t>
  </si>
  <si>
    <t>Other Corporate Debts</t>
  </si>
  <si>
    <t>FX Position</t>
  </si>
  <si>
    <t>Total PRR</t>
  </si>
  <si>
    <t>SCHEDULE LERR-1</t>
  </si>
  <si>
    <t>MANUAL COMPUTATION OF LARGE EXPOSURE RISK REQUIREMENT (LERR) TO SINGLE CLIENT</t>
  </si>
  <si>
    <t>Counterparty Name [report only if (a) &gt; 10% of Core Equity]</t>
  </si>
  <si>
    <t>Type of  Securities and/or counterparty transaction type</t>
  </si>
  <si>
    <t xml:space="preserve">Net Counterparty Exposure (CE) for Securities and/or counterparty transaction type                                                            </t>
  </si>
  <si>
    <t>LERR (Excess of Net Counter Party Exposure over 10% Core Equity)</t>
  </si>
  <si>
    <t xml:space="preserve">30% of Core Equity </t>
  </si>
  <si>
    <t>Breach maximum LER limit if Total Net CE exceeds 30% of Core Equity 
(yes/no)</t>
  </si>
  <si>
    <t xml:space="preserve">(Php)  </t>
  </si>
  <si>
    <t>(Php)</t>
  </si>
  <si>
    <t>Various (Pls provide supporting sched below and link )</t>
  </si>
  <si>
    <t>Grand Total of LERR</t>
  </si>
  <si>
    <t>SCHEDULE LERR-3</t>
  </si>
  <si>
    <t xml:space="preserve">MANUAL COMPUTATION OF LARGE EXPOSURE RISK REQUIREMENT (LERR) FOR EXPOSURE TO SINGLE EQUITY </t>
  </si>
  <si>
    <t>RELATIVE TO A PARTICULAR ISSUER COMPANY AND  ITS GROUP OF COMPANIES</t>
  </si>
  <si>
    <t>LERR TO EQUITY VS CORE EQUITY LIMIT</t>
  </si>
  <si>
    <t>LERR TO EQUITY VS ISSUER LIMIT</t>
  </si>
  <si>
    <t xml:space="preserve">Name of Securities </t>
  </si>
  <si>
    <t>Quantity [report only if (a) &gt; 10% of Core Equity]</t>
  </si>
  <si>
    <t>Total Market Value per Security  (Php)</t>
  </si>
  <si>
    <t>Excess of Market Value over 10% of Core Equity</t>
  </si>
  <si>
    <t>Position Risk Factor</t>
  </si>
  <si>
    <t>LERR        (Php)</t>
  </si>
  <si>
    <t>5% of Total listed issue of the Equity</t>
  </si>
  <si>
    <t>Excess of Market Value over 5% Total listed issue</t>
  </si>
  <si>
    <t>Higher of LERR (d) and (g)             (Php)</t>
  </si>
  <si>
    <t>250% of Core Equity  (Php)</t>
  </si>
  <si>
    <t>Breach maximum LER limit if (a) exceeds 250% of Core Equity (yes/no)</t>
  </si>
  <si>
    <t>Don't Delete</t>
  </si>
  <si>
    <t>With Value</t>
  </si>
  <si>
    <t>(c)</t>
  </si>
  <si>
    <t>(d)                [b x c]</t>
  </si>
  <si>
    <t xml:space="preserve">(f)    </t>
  </si>
  <si>
    <t>(g)       [f=dxe]</t>
  </si>
  <si>
    <t>Total LERR</t>
  </si>
  <si>
    <t>SCHEDULE LERR-2</t>
  </si>
  <si>
    <t>MANUAL COMPUTATION OF LARGE EXPOSURE RISK REQUIREMENT (LERR) FOR EXPOSURE TO DEBT FOR FIXED INCOME SECURITIES</t>
  </si>
  <si>
    <t>Type of FI Securities [report only if (a) &gt; 10% of Core Equity]</t>
  </si>
  <si>
    <t>Market Value of the FI Securities  (Php)</t>
  </si>
  <si>
    <t>Excess of Market Value of FI Securities over 10% of C.E.</t>
  </si>
  <si>
    <t>30% of Core Equity  (Php)</t>
  </si>
  <si>
    <t>Breach maximum LER limit if (a) exceeds 30% of Core Equity (yes/no)</t>
  </si>
  <si>
    <t xml:space="preserve">(c)    </t>
  </si>
  <si>
    <t>Reconciliation of Balance Sheet Items:</t>
  </si>
  <si>
    <t>ASSETS</t>
  </si>
  <si>
    <t>LIABILITIES &amp; STOCKHOLDERS' EQUITY</t>
  </si>
  <si>
    <t>Eligible Current Assets</t>
  </si>
  <si>
    <t>Current Liabilities</t>
  </si>
  <si>
    <t>Cash and Cash Equivalents</t>
  </si>
  <si>
    <t>Short Term Investments</t>
  </si>
  <si>
    <t>Non-Current Liabilities</t>
  </si>
  <si>
    <t>Proprietary Security Owned</t>
  </si>
  <si>
    <t>Receivable from Customers</t>
  </si>
  <si>
    <t>Ineligible Equity Items</t>
  </si>
  <si>
    <t>Receivable from Clearing House</t>
  </si>
  <si>
    <t>Unrealized Gain</t>
  </si>
  <si>
    <t>Secured Demand Note</t>
  </si>
  <si>
    <t>Long Term Investments (IBODI-Govt)</t>
  </si>
  <si>
    <t>Deduct:</t>
  </si>
  <si>
    <t xml:space="preserve">Total Ineligible Assets </t>
  </si>
  <si>
    <t>Equity Eligible for Net Liquid Capital</t>
  </si>
  <si>
    <t>TOTAL ASSETS</t>
  </si>
  <si>
    <t>TOTAL LIABILITIES &amp; STOCKHOLDERS' EQUITY</t>
  </si>
  <si>
    <t>FS</t>
  </si>
  <si>
    <t>Difference</t>
  </si>
  <si>
    <t>RESERVE FORMULA COMPUTATION Under SRC Rule 49.2</t>
  </si>
  <si>
    <t xml:space="preserve">Credit </t>
  </si>
  <si>
    <t>1.   Free credit balance and other credit balance in customers' security accounts</t>
  </si>
  <si>
    <t>2.   Monies borrowed collateralized by the securities carried for the account of customers</t>
  </si>
  <si>
    <t>3.   Monies payable against customers' securities loaned.</t>
  </si>
  <si>
    <t>4.   Customers' securities failed to receive</t>
  </si>
  <si>
    <t>5.   Customer balances in firm accounts which are attributable to principal sales to customer.</t>
  </si>
  <si>
    <t xml:space="preserve">6.   Market Value of stock dividends, stock splits and similar distributions receivable </t>
  </si>
  <si>
    <t xml:space="preserve">      outstanding over 30 calendar days old.</t>
  </si>
  <si>
    <t>7.   Market Value of the short security count differences over 30 calendar days old</t>
  </si>
  <si>
    <t>8.   Market Value of short securities and credits (not to be offset by long or by debits) in all</t>
  </si>
  <si>
    <t xml:space="preserve">      suspense accounts over 30 calendar days.</t>
  </si>
  <si>
    <t xml:space="preserve">9.   Market Value of securities which are in transfer in excess of 40 calendar days and have </t>
  </si>
  <si>
    <t xml:space="preserve">      not been confirmed to be in transfer by the transfer agent or the issuer during the 40 days.</t>
  </si>
  <si>
    <t xml:space="preserve">10. Debit balances in customers' cash or margin accounts excluding unsecured accounts </t>
  </si>
  <si>
    <t xml:space="preserve">       and accounts doubtful of collection.</t>
  </si>
  <si>
    <t>11. Securities borrowed to effectuate short sales by customer and securities borrowed</t>
  </si>
  <si>
    <t xml:space="preserve">       to make delivery on customers' securities failed to deliver</t>
  </si>
  <si>
    <t>12.  Failed to deliver customers' securities not older than 30 calendar days.</t>
  </si>
  <si>
    <t>13.  Others</t>
  </si>
  <si>
    <t>RESERVE FORMULA WORKSHEET</t>
  </si>
  <si>
    <t>.</t>
  </si>
  <si>
    <t>Free Credit balances and Other Credit Balances in Customer Securities Accounts</t>
  </si>
  <si>
    <t>Unadjusted trial balance amount</t>
  </si>
  <si>
    <t>Additions:</t>
  </si>
  <si>
    <t>1.   Bank Account Overdrafts/1</t>
  </si>
  <si>
    <t>2.  Credit balances in customer omnibus accounts</t>
  </si>
  <si>
    <t>3.  Any other customer credit balance not accounted for elsewhere (explain nature)</t>
  </si>
  <si>
    <t>Dividends Payable</t>
  </si>
  <si>
    <t>Deductions:</t>
  </si>
  <si>
    <t xml:space="preserve">1.  Credit Balances in the accounts of non customers such as </t>
  </si>
  <si>
    <t>general partners and principal officers</t>
  </si>
  <si>
    <t>2.  Credit balances in customers' cash accounts arising from the</t>
  </si>
  <si>
    <t>sale of a security not delivered if the securities are purchased by</t>
  </si>
  <si>
    <t>the broker-dealer for its own account and have not been resold</t>
  </si>
  <si>
    <t>Adjusted total line item #1</t>
  </si>
  <si>
    <t xml:space="preserve">Monies Borrowed Collateralized by Securities carried for the Accounts of </t>
  </si>
  <si>
    <t>Customers</t>
  </si>
  <si>
    <t>Unadjusted trial balance amount customer loan</t>
  </si>
  <si>
    <t>Unadjusted trial balance amount commingled loan/2</t>
  </si>
  <si>
    <t>Adjusted total line item #2</t>
  </si>
  <si>
    <t>Monies Payable Against Securities Loaned</t>
  </si>
  <si>
    <t>1.  The amount by which the market value of customers securities</t>
  </si>
  <si>
    <t>loaned exceed the collateral value received from lending os such</t>
  </si>
  <si>
    <t>securities</t>
  </si>
  <si>
    <t>Adjusted total line item #3</t>
  </si>
  <si>
    <t>Customer Securities Failed to Receive (as Determined by Allocation or Specific</t>
  </si>
  <si>
    <t>Identification)</t>
  </si>
  <si>
    <t>Unadjusted Balance:</t>
  </si>
  <si>
    <t>1.  The amount by which the market value by which fails to receive</t>
  </si>
  <si>
    <t>outstanding for more than 34 calendar days exceed their contract</t>
  </si>
  <si>
    <t>value/3</t>
  </si>
  <si>
    <t>2.  Clearing Accounts with net credit balances attributable to</t>
  </si>
  <si>
    <t>customers transactions.  (Clearing Corporations)</t>
  </si>
  <si>
    <t>3.  Unsecured customer short positions which allocate to customer</t>
  </si>
  <si>
    <t>long positions/4</t>
  </si>
  <si>
    <t>4.  Any other credit not accounted for elsewhere in the formula</t>
  </si>
  <si>
    <t>Adjusted total line item #4</t>
  </si>
  <si>
    <t>Credit balances in Firm Accounts which are Attributable to</t>
  </si>
  <si>
    <t>Principal Sales to Customers/5</t>
  </si>
  <si>
    <t xml:space="preserve">Market Value of Stock Dividends and Splits Outstanding Over 30 </t>
  </si>
  <si>
    <t>Calendar days / 5 / 6</t>
  </si>
  <si>
    <t>Market Value of Short Security Count Differences over 30 calendar</t>
  </si>
  <si>
    <t>days old (not to be offset by long count differences)</t>
  </si>
  <si>
    <t>Market Value of Short Securities and Credits (not to be offset by loans</t>
  </si>
  <si>
    <t>or debits) in all Suspense Accounts over 30 calendar days old</t>
  </si>
  <si>
    <t>1.  Credit Balances Only</t>
  </si>
  <si>
    <t>2.  Security Positions Only / 5</t>
  </si>
  <si>
    <t>3.  Security Positions with Related Balances / 5 / 7</t>
  </si>
  <si>
    <t>Adjusted total line item #8</t>
  </si>
  <si>
    <t>Market Value of Securities in Transfer in Excess of 40 Calendar Days which have</t>
  </si>
  <si>
    <t>not been confirmed to be in transfer by the Transfer Agent of the issuer during 40 days</t>
  </si>
  <si>
    <t>Aggregate Credit Items</t>
  </si>
  <si>
    <t xml:space="preserve">Debit Balances in customers' cash and margin accounts excluding </t>
  </si>
  <si>
    <t>Unsecured Accounts and Accounts Doubtful of Collection</t>
  </si>
  <si>
    <t>Unadjusted trial balance</t>
  </si>
  <si>
    <t>1.  Debit balance in customer omnnibus accounts</t>
  </si>
  <si>
    <t>2.  Any other customer debit balance not accounted for elsewhere (explain nature)</t>
  </si>
  <si>
    <t>1.  Unsecured balances and accounts doubtful of collection</t>
  </si>
  <si>
    <t>2.  Debit balances in the accounts of non-customers such as</t>
  </si>
  <si>
    <t>3.  Reduction of margin debits for undue concentration of collateral/8</t>
  </si>
  <si>
    <t>4.  Deficits in customer-related omnibus accounts/9</t>
  </si>
  <si>
    <t>5.  Debit Balances in accounts of household members and</t>
  </si>
  <si>
    <t>affiliated members/10</t>
  </si>
  <si>
    <t>6.  Reduction if unduly concentrated margin account balances/11</t>
  </si>
  <si>
    <t>7.  Reduction of debit balances of accounts jointly owned by</t>
  </si>
  <si>
    <t>customers and non-customers/12</t>
  </si>
  <si>
    <t>8.  Reduction for partly secured cash accounts</t>
  </si>
  <si>
    <t>Subtotal of Adjusted Total Debits</t>
  </si>
  <si>
    <t>Reduce Subtotal by 1%</t>
  </si>
  <si>
    <t>Adjusted total line item #10</t>
  </si>
  <si>
    <t xml:space="preserve"> Prepayment from Client for Early Settlement of Account</t>
  </si>
  <si>
    <t>Securities Borrowed to Effectuate Short Sales by Customers and</t>
  </si>
  <si>
    <t>Securities Borrowed to make delivery on Customers'</t>
  </si>
  <si>
    <t>Securities Failed to Deliver</t>
  </si>
  <si>
    <t>Fails to Deliver oc Customer Securities not older than 30 calendar days (as</t>
  </si>
  <si>
    <t>determined by Allocation or Specific Identification)</t>
  </si>
  <si>
    <t>Unadjusted Balance</t>
  </si>
  <si>
    <t>Additions</t>
  </si>
  <si>
    <t>1.  Clearing Accounts with net debit balances attributable to</t>
  </si>
  <si>
    <t>customer transactions (Clearing Corporations)</t>
  </si>
  <si>
    <t>2.  Drafts receivable outstanding less than 30 calendar days</t>
  </si>
  <si>
    <t>related to customer transaction / 13</t>
  </si>
  <si>
    <t>Deductions</t>
  </si>
  <si>
    <t>1.  Securities which are in the firm's physical possession and</t>
  </si>
  <si>
    <t xml:space="preserve">control and in excess of the broker-dealer's possession and </t>
  </si>
  <si>
    <t>control requirements for three business days past settlement.</t>
  </si>
  <si>
    <t>2.  Others (explain nature)</t>
  </si>
  <si>
    <t>Adjusted line item # 13</t>
  </si>
  <si>
    <t>Aggregate Debit items</t>
  </si>
  <si>
    <t>Determination of Requirements</t>
  </si>
  <si>
    <t>Aggregate Debit Items</t>
  </si>
  <si>
    <t>Net Credit/(Debit)</t>
  </si>
  <si>
    <t>Required Reserve (100% of Net Credit if making a weekly computation</t>
  </si>
  <si>
    <t>or 105% if monthly)</t>
  </si>
  <si>
    <t>C</t>
  </si>
  <si>
    <t>Frequency of Computation</t>
  </si>
  <si>
    <t>Monthly, if:</t>
  </si>
  <si>
    <t>AND</t>
  </si>
  <si>
    <t>D</t>
  </si>
  <si>
    <t>Special Reserve Bank Account Balance</t>
  </si>
  <si>
    <t>Special Reserve Account balance Prior to Computation</t>
  </si>
  <si>
    <t xml:space="preserve">Less:  Deposit Required </t>
  </si>
  <si>
    <t>Additional Deposit Required</t>
  </si>
  <si>
    <t>Note:  Deposit should be made no later than 10 a.m. on the second banking day</t>
  </si>
  <si>
    <t>following computation date.</t>
  </si>
  <si>
    <t>SEC FORM 49 FINOP</t>
  </si>
  <si>
    <t>ITEM NO.</t>
  </si>
  <si>
    <t>DESCRIPTION</t>
  </si>
  <si>
    <t>JANUARY</t>
  </si>
  <si>
    <t>FEBRUARY</t>
  </si>
  <si>
    <t>MARCH</t>
  </si>
  <si>
    <t>APRIL</t>
  </si>
  <si>
    <t>MAY</t>
  </si>
  <si>
    <t>JUNE</t>
  </si>
  <si>
    <t>DESCPRIPTION</t>
  </si>
  <si>
    <t>Total Assets</t>
  </si>
  <si>
    <t>Total Liablities</t>
  </si>
  <si>
    <t>Net Worth</t>
  </si>
  <si>
    <t>Adjustments to Net Worth</t>
  </si>
  <si>
    <t xml:space="preserve">   Additions:</t>
  </si>
  <si>
    <t xml:space="preserve">   a.  Unrealized Gains in Proprietary Accounts</t>
  </si>
  <si>
    <t xml:space="preserve">   b.  Other Additions/1</t>
  </si>
  <si>
    <t xml:space="preserve">   Deductions</t>
  </si>
  <si>
    <t xml:space="preserve">   a.  Unrealized Losses in Proprietary Accounts</t>
  </si>
  <si>
    <t xml:space="preserve">   b.  Non-Allowable Assets</t>
  </si>
  <si>
    <t>Current Month Income (Loss)</t>
  </si>
  <si>
    <t>Tentative Net Capital</t>
  </si>
  <si>
    <t>Haircuts</t>
  </si>
  <si>
    <t>Adjusted Net Capital</t>
  </si>
  <si>
    <t>Scheduled Capital Withdrawals</t>
  </si>
  <si>
    <t>Net Capital After Withdrawals</t>
  </si>
  <si>
    <t>Fails to Receive Open Excess of 30 Days (Market Value)</t>
  </si>
  <si>
    <t xml:space="preserve">  a.  Market Value</t>
  </si>
  <si>
    <t xml:space="preserve">  b.  Number of Items</t>
  </si>
  <si>
    <t>Fails to Deliver Open Excess of 30 Days (Market Value)</t>
  </si>
  <si>
    <t>Securities Count Differences</t>
  </si>
  <si>
    <t xml:space="preserve">  a.  Long</t>
  </si>
  <si>
    <t xml:space="preserve">  b.  Short</t>
  </si>
  <si>
    <t>Proprietary Securities (Market Value)</t>
  </si>
  <si>
    <t xml:space="preserve">  a.  Investment Account</t>
  </si>
  <si>
    <t xml:space="preserve">  b.  Trading Account</t>
  </si>
  <si>
    <t xml:space="preserve">  c.  Other Proprietary Accounts</t>
  </si>
  <si>
    <t>Fixed Assets</t>
  </si>
  <si>
    <t>Total Transactions</t>
  </si>
  <si>
    <t xml:space="preserve">  a.  Buy</t>
  </si>
  <si>
    <t xml:space="preserve">  b.  Sell</t>
  </si>
  <si>
    <t>Minimum Capital Requirement</t>
  </si>
  <si>
    <t>Ratio of Aggregate Indebtedness to Adjusted Net Capital</t>
  </si>
  <si>
    <t>Total Debits- Customer Related</t>
  </si>
  <si>
    <t xml:space="preserve">  a.  Fully Secured</t>
  </si>
  <si>
    <t xml:space="preserve">  b.  Partially Secured</t>
  </si>
  <si>
    <t xml:space="preserve">  c.  Unsecured</t>
  </si>
  <si>
    <t>Total Credits - Customer Related</t>
  </si>
  <si>
    <t>Suspense Accounts</t>
  </si>
  <si>
    <t>Intercompany Accounts</t>
  </si>
  <si>
    <t>Inter-Company Accounts</t>
  </si>
  <si>
    <t xml:space="preserve">  a.  Due from Affiliates</t>
  </si>
  <si>
    <t xml:space="preserve">  b.  Due to Affiliates</t>
  </si>
  <si>
    <t>Non-Approved Subordinated Capital</t>
  </si>
  <si>
    <t>Checks Outstanding Over 30 Days</t>
  </si>
  <si>
    <t xml:space="preserve">  a.  Number</t>
  </si>
  <si>
    <t xml:space="preserve">  b.  Aggregate Amount</t>
  </si>
  <si>
    <t>Approved Subordinated Capital</t>
  </si>
  <si>
    <t xml:space="preserve">  a.  Subordinated Capital maturing within 6 mons.</t>
  </si>
  <si>
    <t>Broker</t>
  </si>
  <si>
    <t>month</t>
  </si>
  <si>
    <t>name</t>
  </si>
  <si>
    <t>Month</t>
  </si>
  <si>
    <t>January</t>
  </si>
  <si>
    <t>Year</t>
  </si>
  <si>
    <t>February</t>
  </si>
  <si>
    <t>Date Submitted</t>
  </si>
  <si>
    <t>March</t>
  </si>
  <si>
    <t>Version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</si>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</sst>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%"/>
    <numFmt numFmtId="167" formatCode="[$-409]mmmm\ d\,\ yyyy;@"/>
    <numFmt numFmtId="168" formatCode="_(* #,##0.0_);_(* \(#,##0.0\);_(* &quot;-&quot;??_);_(@_)"/>
    <numFmt numFmtId="169" formatCode="_(* #,##0_);_(* \(#,##0\);_(* &quot;-&quot;??_);_(@_)"/>
    <numFmt numFmtId="170" formatCode="mmmm\ d\,\ yyyy"/>
    <numFmt numFmtId="171" formatCode="&quot;$&quot;#,##0\ ;\(&quot;$&quot;#,##0\)"/>
    <numFmt numFmtId="172" formatCode="0.00_)"/>
    <numFmt numFmtId="173" formatCode="_-&quot;$&quot;* #,##0_-;\-&quot;$&quot;* #,##0_-;_-&quot;$&quot;* &quot;-&quot;_-;_-@_-"/>
    <numFmt numFmtId="174" formatCode="_-&quot;$&quot;* #,##0.00_-;\-&quot;$&quot;* #,##0.00_-;_-&quot;$&quot;* &quot;-&quot;??_-;_-@_-"/>
    <numFmt numFmtId="175" formatCode="yyyy"/>
    <numFmt numFmtId="176" formatCode="#,###;[Red]\(#,###\)"/>
    <numFmt numFmtId="177" formatCode="mm/dd/yy"/>
    <numFmt numFmtId="178" formatCode="0_);\(0\)"/>
    <numFmt numFmtId="179" formatCode="[$PHP]\ #,##0.00;[Red][$PHP]\ #,##0.00"/>
    <numFmt numFmtId="180" formatCode="[$-3409]mmmm\ dd\,\ yyyy;@"/>
  </numFmts>
  <fonts count="6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u/>
      <sz val="10"/>
      <name val="Arial"/>
      <family val="2"/>
    </font>
    <font>
      <u val="double"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 Black"/>
      <family val="2"/>
    </font>
    <font>
      <b/>
      <vertAlign val="subscript"/>
      <sz val="24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2"/>
      <color indexed="24"/>
      <name val="Times New Roman"/>
      <family val="1"/>
    </font>
    <font>
      <sz val="18"/>
      <color indexed="24"/>
      <name val="Times New Roman"/>
      <family val="1"/>
    </font>
    <font>
      <b/>
      <i/>
      <sz val="14"/>
      <color indexed="24"/>
      <name val="Times New Roman"/>
      <family val="1"/>
    </font>
    <font>
      <b/>
      <i/>
      <sz val="16"/>
      <name val="Helv"/>
    </font>
    <font>
      <b/>
      <sz val="11"/>
      <name val="Times New Roman"/>
      <family val="1"/>
    </font>
    <font>
      <b/>
      <u/>
      <sz val="14"/>
      <color indexed="12"/>
      <name val="Arial"/>
      <family val="2"/>
    </font>
    <font>
      <b/>
      <sz val="12"/>
      <color indexed="12"/>
      <name val="Arial"/>
      <family val="2"/>
    </font>
    <font>
      <b/>
      <u/>
      <sz val="10"/>
      <color indexed="10"/>
      <name val="Arial"/>
      <family val="2"/>
    </font>
    <font>
      <b/>
      <sz val="10"/>
      <color indexed="10"/>
      <name val="Arial"/>
      <family val="2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sz val="10"/>
      <color indexed="12"/>
      <name val="Arial"/>
      <family val="2"/>
    </font>
    <font>
      <sz val="10"/>
      <name val="SLHaircut"/>
    </font>
    <font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indexed="13"/>
      <name val="Arial"/>
      <family val="2"/>
    </font>
    <font>
      <sz val="10"/>
      <name val="Arial"/>
      <family val="2"/>
    </font>
    <font>
      <sz val="10"/>
      <name val="Arial Black"/>
      <family val="2"/>
    </font>
    <font>
      <u/>
      <sz val="10"/>
      <color indexed="10"/>
      <name val="Arial"/>
      <family val="2"/>
    </font>
    <font>
      <sz val="6"/>
      <color indexed="12"/>
      <name val="Arial"/>
      <family val="2"/>
    </font>
    <font>
      <sz val="9"/>
      <color indexed="12"/>
      <name val="Arial"/>
      <family val="2"/>
    </font>
    <font>
      <sz val="11"/>
      <color indexed="12"/>
      <name val="Arial"/>
      <family val="2"/>
    </font>
    <font>
      <b/>
      <sz val="10"/>
      <color indexed="12"/>
      <name val="Arial Narrow"/>
      <family val="2"/>
    </font>
    <font>
      <sz val="10"/>
      <name val="SLoan"/>
    </font>
    <font>
      <b/>
      <u/>
      <sz val="9"/>
      <name val="Arial"/>
      <family val="2"/>
    </font>
    <font>
      <b/>
      <u/>
      <sz val="10"/>
      <name val="Arial Black"/>
      <family val="2"/>
    </font>
    <font>
      <b/>
      <u/>
      <sz val="12"/>
      <color indexed="12"/>
      <name val="Arial"/>
      <family val="2"/>
    </font>
    <font>
      <sz val="9"/>
      <color indexed="81"/>
      <name val="Tahoma"/>
      <family val="2"/>
    </font>
    <font>
      <sz val="10"/>
      <color indexed="8"/>
      <name val="Times New Roman"/>
      <family val="1"/>
    </font>
    <font>
      <b/>
      <u/>
      <sz val="10"/>
      <color indexed="8"/>
      <name val="Arial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3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38" fontId="14" fillId="2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0" fontId="14" fillId="3" borderId="1" applyNumberFormat="0" applyBorder="0" applyAlignment="0" applyProtection="0"/>
    <xf numFmtId="172" fontId="31" fillId="0" borderId="0"/>
    <xf numFmtId="0" fontId="1" fillId="0" borderId="0"/>
    <xf numFmtId="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40" fontId="32" fillId="0" borderId="0"/>
    <xf numFmtId="0" fontId="28" fillId="0" borderId="2" applyNumberFormat="0" applyFont="0" applyFill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</cellStyleXfs>
  <cellXfs count="9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6" fillId="0" borderId="0" xfId="0" applyFont="1"/>
    <xf numFmtId="0" fontId="7" fillId="0" borderId="3" xfId="0" applyFont="1" applyBorder="1"/>
    <xf numFmtId="0" fontId="8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/>
    <xf numFmtId="0" fontId="10" fillId="0" borderId="1" xfId="0" applyFont="1" applyBorder="1"/>
    <xf numFmtId="0" fontId="0" fillId="0" borderId="4" xfId="0" applyBorder="1"/>
    <xf numFmtId="0" fontId="12" fillId="0" borderId="0" xfId="0" applyFont="1"/>
    <xf numFmtId="0" fontId="1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4" fillId="0" borderId="1" xfId="0" applyFont="1" applyBorder="1"/>
    <xf numFmtId="39" fontId="14" fillId="0" borderId="1" xfId="0" applyNumberFormat="1" applyFont="1" applyBorder="1"/>
    <xf numFmtId="0" fontId="14" fillId="0" borderId="6" xfId="0" applyFont="1" applyBorder="1" applyAlignment="1">
      <alignment horizontal="center"/>
    </xf>
    <xf numFmtId="39" fontId="14" fillId="4" borderId="1" xfId="0" applyNumberFormat="1" applyFont="1" applyFill="1" applyBorder="1"/>
    <xf numFmtId="0" fontId="14" fillId="0" borderId="7" xfId="0" applyFont="1" applyBorder="1"/>
    <xf numFmtId="0" fontId="7" fillId="0" borderId="0" xfId="0" applyFont="1"/>
    <xf numFmtId="0" fontId="14" fillId="0" borderId="0" xfId="0" applyFont="1"/>
    <xf numFmtId="39" fontId="14" fillId="0" borderId="0" xfId="0" applyNumberFormat="1" applyFont="1"/>
    <xf numFmtId="0" fontId="7" fillId="0" borderId="8" xfId="0" applyFont="1" applyBorder="1"/>
    <xf numFmtId="39" fontId="7" fillId="0" borderId="8" xfId="0" applyNumberFormat="1" applyFont="1" applyBorder="1" applyAlignment="1">
      <alignment horizontal="center"/>
    </xf>
    <xf numFmtId="0" fontId="7" fillId="0" borderId="9" xfId="0" applyFont="1" applyBorder="1"/>
    <xf numFmtId="0" fontId="14" fillId="0" borderId="10" xfId="0" applyFont="1" applyBorder="1"/>
    <xf numFmtId="0" fontId="14" fillId="0" borderId="11" xfId="0" applyFont="1" applyBorder="1"/>
    <xf numFmtId="39" fontId="14" fillId="0" borderId="11" xfId="0" applyNumberFormat="1" applyFont="1" applyBorder="1"/>
    <xf numFmtId="0" fontId="14" fillId="0" borderId="12" xfId="0" applyFont="1" applyBorder="1" applyAlignment="1">
      <alignment horizontal="center"/>
    </xf>
    <xf numFmtId="0" fontId="7" fillId="0" borderId="1" xfId="0" applyFont="1" applyBorder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left"/>
    </xf>
    <xf numFmtId="0" fontId="18" fillId="0" borderId="14" xfId="0" applyFont="1" applyBorder="1"/>
    <xf numFmtId="0" fontId="17" fillId="0" borderId="14" xfId="0" applyFont="1" applyBorder="1"/>
    <xf numFmtId="0" fontId="17" fillId="0" borderId="15" xfId="0" applyFont="1" applyBorder="1"/>
    <xf numFmtId="0" fontId="17" fillId="0" borderId="13" xfId="0" applyFont="1" applyBorder="1"/>
    <xf numFmtId="0" fontId="17" fillId="0" borderId="14" xfId="0" applyFont="1" applyBorder="1" applyAlignment="1">
      <alignment horizontal="left"/>
    </xf>
    <xf numFmtId="0" fontId="17" fillId="0" borderId="16" xfId="0" applyFont="1" applyBorder="1"/>
    <xf numFmtId="0" fontId="17" fillId="0" borderId="4" xfId="0" applyFont="1" applyBorder="1" applyAlignment="1">
      <alignment horizontal="left"/>
    </xf>
    <xf numFmtId="0" fontId="17" fillId="0" borderId="4" xfId="0" applyFont="1" applyBorder="1"/>
    <xf numFmtId="0" fontId="17" fillId="0" borderId="17" xfId="0" applyFont="1" applyBorder="1"/>
    <xf numFmtId="0" fontId="17" fillId="0" borderId="18" xfId="0" applyFont="1" applyBorder="1"/>
    <xf numFmtId="0" fontId="17" fillId="0" borderId="19" xfId="0" applyFont="1" applyBorder="1" applyAlignment="1">
      <alignment horizontal="left"/>
    </xf>
    <xf numFmtId="0" fontId="17" fillId="0" borderId="19" xfId="0" applyFont="1" applyBorder="1"/>
    <xf numFmtId="0" fontId="17" fillId="0" borderId="20" xfId="0" applyFont="1" applyBorder="1"/>
    <xf numFmtId="0" fontId="17" fillId="0" borderId="21" xfId="0" applyFont="1" applyBorder="1"/>
    <xf numFmtId="0" fontId="17" fillId="0" borderId="22" xfId="0" applyFont="1" applyBorder="1"/>
    <xf numFmtId="0" fontId="17" fillId="0" borderId="13" xfId="0" applyFont="1" applyBorder="1" applyAlignment="1">
      <alignment horizontal="center"/>
    </xf>
    <xf numFmtId="0" fontId="18" fillId="0" borderId="18" xfId="0" applyFont="1" applyBorder="1"/>
    <xf numFmtId="0" fontId="18" fillId="0" borderId="19" xfId="0" applyFont="1" applyBorder="1" applyAlignment="1">
      <alignment horizontal="left"/>
    </xf>
    <xf numFmtId="0" fontId="18" fillId="0" borderId="19" xfId="0" applyFont="1" applyBorder="1"/>
    <xf numFmtId="0" fontId="18" fillId="0" borderId="13" xfId="0" applyFont="1" applyBorder="1"/>
    <xf numFmtId="0" fontId="17" fillId="0" borderId="18" xfId="0" applyFont="1" applyBorder="1" applyAlignment="1">
      <alignment horizontal="right"/>
    </xf>
    <xf numFmtId="0" fontId="18" fillId="0" borderId="16" xfId="0" applyFont="1" applyBorder="1"/>
    <xf numFmtId="0" fontId="17" fillId="0" borderId="13" xfId="0" applyFont="1" applyBorder="1" applyAlignment="1">
      <alignment horizontal="right"/>
    </xf>
    <xf numFmtId="0" fontId="18" fillId="0" borderId="4" xfId="0" applyFont="1" applyBorder="1" applyAlignment="1">
      <alignment horizontal="left"/>
    </xf>
    <xf numFmtId="0" fontId="18" fillId="0" borderId="4" xfId="0" applyFont="1" applyBorder="1"/>
    <xf numFmtId="0" fontId="17" fillId="0" borderId="22" xfId="0" applyFont="1" applyBorder="1" applyAlignment="1">
      <alignment horizontal="right"/>
    </xf>
    <xf numFmtId="0" fontId="18" fillId="0" borderId="0" xfId="0" applyFont="1"/>
    <xf numFmtId="0" fontId="18" fillId="0" borderId="22" xfId="0" applyFont="1" applyBorder="1" applyAlignment="1">
      <alignment horizontal="right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0" fillId="0" borderId="14" xfId="0" applyBorder="1"/>
    <xf numFmtId="0" fontId="2" fillId="0" borderId="4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vertical="top" wrapText="1"/>
    </xf>
    <xf numFmtId="0" fontId="10" fillId="0" borderId="0" xfId="0" applyFont="1"/>
    <xf numFmtId="0" fontId="2" fillId="0" borderId="1" xfId="0" applyFont="1" applyBorder="1"/>
    <xf numFmtId="10" fontId="0" fillId="0" borderId="0" xfId="14" applyNumberFormat="1" applyFont="1"/>
    <xf numFmtId="10" fontId="0" fillId="0" borderId="1" xfId="14" applyNumberFormat="1" applyFont="1" applyBorder="1" applyAlignment="1">
      <alignment horizontal="center" wrapText="1"/>
    </xf>
    <xf numFmtId="10" fontId="0" fillId="0" borderId="1" xfId="14" applyNumberFormat="1" applyFont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167" fontId="0" fillId="0" borderId="0" xfId="0" applyNumberFormat="1"/>
    <xf numFmtId="43" fontId="11" fillId="0" borderId="0" xfId="1" applyFont="1" applyAlignment="1">
      <alignment horizontal="center"/>
    </xf>
    <xf numFmtId="43" fontId="2" fillId="0" borderId="0" xfId="1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43" fontId="0" fillId="0" borderId="0" xfId="1" applyFont="1"/>
    <xf numFmtId="43" fontId="0" fillId="0" borderId="4" xfId="1" applyFont="1" applyBorder="1"/>
    <xf numFmtId="43" fontId="2" fillId="0" borderId="0" xfId="1" applyFont="1" applyAlignment="1">
      <alignment horizontal="center"/>
    </xf>
    <xf numFmtId="43" fontId="0" fillId="0" borderId="0" xfId="1" applyFont="1" applyBorder="1"/>
    <xf numFmtId="169" fontId="0" fillId="0" borderId="0" xfId="1" applyNumberFormat="1" applyFont="1"/>
    <xf numFmtId="43" fontId="13" fillId="0" borderId="0" xfId="1" applyFont="1"/>
    <xf numFmtId="43" fontId="2" fillId="0" borderId="4" xfId="1" applyFont="1" applyBorder="1" applyAlignment="1">
      <alignment horizontal="center"/>
    </xf>
    <xf numFmtId="43" fontId="2" fillId="0" borderId="5" xfId="1" applyFont="1" applyBorder="1"/>
    <xf numFmtId="43" fontId="4" fillId="0" borderId="4" xfId="1" applyFont="1" applyBorder="1"/>
    <xf numFmtId="43" fontId="4" fillId="0" borderId="0" xfId="1" applyFont="1"/>
    <xf numFmtId="43" fontId="0" fillId="0" borderId="19" xfId="1" applyFont="1" applyBorder="1"/>
    <xf numFmtId="43" fontId="5" fillId="0" borderId="24" xfId="1" applyFont="1" applyBorder="1"/>
    <xf numFmtId="0" fontId="11" fillId="0" borderId="0" xfId="0" applyFont="1"/>
    <xf numFmtId="43" fontId="0" fillId="0" borderId="0" xfId="0" applyNumberFormat="1"/>
    <xf numFmtId="43" fontId="0" fillId="0" borderId="4" xfId="0" applyNumberFormat="1" applyBorder="1"/>
    <xf numFmtId="169" fontId="0" fillId="0" borderId="0" xfId="0" applyNumberFormat="1"/>
    <xf numFmtId="0" fontId="2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0" borderId="15" xfId="0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2" borderId="0" xfId="0" applyFont="1" applyFill="1"/>
    <xf numFmtId="0" fontId="13" fillId="0" borderId="0" xfId="0" applyFont="1" applyAlignment="1">
      <alignment horizontal="center"/>
    </xf>
    <xf numFmtId="43" fontId="0" fillId="2" borderId="0" xfId="1" applyFont="1" applyFill="1"/>
    <xf numFmtId="43" fontId="2" fillId="2" borderId="25" xfId="1" applyFont="1" applyFill="1" applyBorder="1"/>
    <xf numFmtId="9" fontId="2" fillId="0" borderId="0" xfId="14" applyFont="1"/>
    <xf numFmtId="43" fontId="0" fillId="0" borderId="24" xfId="0" applyNumberFormat="1" applyBorder="1"/>
    <xf numFmtId="0" fontId="25" fillId="0" borderId="0" xfId="10" applyBorder="1" applyAlignment="1" applyProtection="1"/>
    <xf numFmtId="0" fontId="21" fillId="0" borderId="0" xfId="0" applyFont="1" applyAlignment="1">
      <alignment horizontal="centerContinuous"/>
    </xf>
    <xf numFmtId="0" fontId="33" fillId="0" borderId="0" xfId="0" applyFont="1"/>
    <xf numFmtId="0" fontId="34" fillId="0" borderId="0" xfId="0" applyFont="1" applyAlignment="1">
      <alignment vertical="center" wrapText="1"/>
    </xf>
    <xf numFmtId="0" fontId="35" fillId="0" borderId="0" xfId="0" applyFont="1" applyAlignment="1">
      <alignment horizontal="centerContinuous" vertical="center" wrapText="1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horizontal="centerContinuous"/>
    </xf>
    <xf numFmtId="0" fontId="34" fillId="0" borderId="0" xfId="0" applyFont="1"/>
    <xf numFmtId="0" fontId="3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7" fillId="0" borderId="0" xfId="0" applyFont="1"/>
    <xf numFmtId="0" fontId="3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center"/>
    </xf>
    <xf numFmtId="0" fontId="21" fillId="2" borderId="0" xfId="10" applyFont="1" applyFill="1" applyAlignment="1" applyProtection="1"/>
    <xf numFmtId="0" fontId="21" fillId="2" borderId="0" xfId="10" applyFont="1" applyFill="1" applyAlignment="1" applyProtection="1">
      <alignment vertical="center" wrapText="1"/>
    </xf>
    <xf numFmtId="0" fontId="0" fillId="0" borderId="0" xfId="0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2" borderId="0" xfId="0" applyFont="1" applyFill="1" applyAlignment="1">
      <alignment horizontal="centerContinuous" vertical="center" wrapText="1"/>
    </xf>
    <xf numFmtId="0" fontId="0" fillId="2" borderId="0" xfId="0" applyFill="1" applyAlignment="1">
      <alignment horizontal="centerContinuous" vertical="center"/>
    </xf>
    <xf numFmtId="0" fontId="39" fillId="0" borderId="0" xfId="0" applyFont="1"/>
    <xf numFmtId="0" fontId="40" fillId="2" borderId="0" xfId="10" applyFont="1" applyFill="1" applyAlignment="1" applyProtection="1"/>
    <xf numFmtId="0" fontId="40" fillId="2" borderId="0" xfId="10" applyFont="1" applyFill="1" applyAlignment="1" applyProtection="1">
      <alignment vertical="center" wrapText="1"/>
    </xf>
    <xf numFmtId="0" fontId="0" fillId="0" borderId="0" xfId="0" applyProtection="1">
      <protection locked="0"/>
    </xf>
    <xf numFmtId="43" fontId="0" fillId="0" borderId="0" xfId="1" applyFont="1" applyProtection="1">
      <protection locked="0"/>
    </xf>
    <xf numFmtId="0" fontId="21" fillId="0" borderId="0" xfId="0" applyFont="1" applyAlignment="1">
      <alignment wrapText="1"/>
    </xf>
    <xf numFmtId="0" fontId="0" fillId="0" borderId="0" xfId="0" applyAlignment="1">
      <alignment vertical="top"/>
    </xf>
    <xf numFmtId="169" fontId="0" fillId="0" borderId="1" xfId="1" applyNumberFormat="1" applyFont="1" applyBorder="1"/>
    <xf numFmtId="0" fontId="0" fillId="0" borderId="0" xfId="0" applyAlignment="1">
      <alignment wrapText="1"/>
    </xf>
    <xf numFmtId="175" fontId="0" fillId="0" borderId="0" xfId="0" applyNumberFormat="1"/>
    <xf numFmtId="0" fontId="40" fillId="0" borderId="0" xfId="0" applyFont="1"/>
    <xf numFmtId="49" fontId="0" fillId="0" borderId="0" xfId="0" applyNumberForma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Continuous"/>
    </xf>
    <xf numFmtId="0" fontId="40" fillId="0" borderId="0" xfId="10" applyFont="1" applyBorder="1" applyAlignment="1" applyProtection="1">
      <alignment wrapText="1"/>
    </xf>
    <xf numFmtId="0" fontId="25" fillId="0" borderId="0" xfId="10" applyFill="1" applyBorder="1" applyAlignment="1" applyProtection="1">
      <alignment wrapText="1"/>
    </xf>
    <xf numFmtId="0" fontId="40" fillId="0" borderId="0" xfId="10" applyFont="1" applyAlignment="1" applyProtection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4" fontId="40" fillId="0" borderId="0" xfId="10" applyNumberFormat="1" applyFont="1" applyAlignment="1" applyProtection="1">
      <alignment wrapText="1"/>
    </xf>
    <xf numFmtId="4" fontId="40" fillId="0" borderId="0" xfId="10" applyNumberFormat="1" applyFont="1" applyFill="1" applyAlignment="1" applyProtection="1">
      <alignment wrapText="1"/>
    </xf>
    <xf numFmtId="43" fontId="2" fillId="0" borderId="0" xfId="1" applyFont="1" applyBorder="1" applyAlignment="1">
      <alignment horizontal="left"/>
    </xf>
    <xf numFmtId="0" fontId="2" fillId="6" borderId="11" xfId="0" applyFont="1" applyFill="1" applyBorder="1" applyAlignment="1">
      <alignment horizontal="center"/>
    </xf>
    <xf numFmtId="0" fontId="41" fillId="0" borderId="0" xfId="0" applyFont="1"/>
    <xf numFmtId="15" fontId="42" fillId="0" borderId="0" xfId="1" applyNumberFormat="1" applyFont="1" applyFill="1" applyBorder="1" applyAlignment="1">
      <alignment horizontal="centerContinuous"/>
    </xf>
    <xf numFmtId="0" fontId="41" fillId="0" borderId="0" xfId="0" applyFont="1" applyAlignment="1">
      <alignment horizontal="centerContinuous"/>
    </xf>
    <xf numFmtId="0" fontId="43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3" fillId="0" borderId="1" xfId="0" applyFont="1" applyBorder="1"/>
    <xf numFmtId="0" fontId="43" fillId="0" borderId="0" xfId="0" applyFont="1"/>
    <xf numFmtId="9" fontId="41" fillId="0" borderId="0" xfId="14" applyFont="1" applyAlignment="1">
      <alignment horizontal="center"/>
    </xf>
    <xf numFmtId="9" fontId="41" fillId="0" borderId="0" xfId="14" applyFont="1"/>
    <xf numFmtId="49" fontId="17" fillId="0" borderId="0" xfId="0" applyNumberFormat="1" applyFont="1"/>
    <xf numFmtId="43" fontId="11" fillId="0" borderId="0" xfId="1" applyFont="1" applyAlignment="1" applyProtection="1">
      <alignment horizontal="center"/>
    </xf>
    <xf numFmtId="43" fontId="0" fillId="0" borderId="0" xfId="1" applyFont="1" applyProtection="1"/>
    <xf numFmtId="43" fontId="2" fillId="0" borderId="0" xfId="1" applyFont="1" applyBorder="1" applyAlignment="1" applyProtection="1">
      <alignment horizontal="center"/>
    </xf>
    <xf numFmtId="43" fontId="2" fillId="0" borderId="5" xfId="1" applyFont="1" applyBorder="1" applyAlignment="1" applyProtection="1">
      <alignment horizontal="center"/>
    </xf>
    <xf numFmtId="169" fontId="0" fillId="0" borderId="0" xfId="1" applyNumberFormat="1" applyFont="1" applyBorder="1"/>
    <xf numFmtId="169" fontId="2" fillId="0" borderId="24" xfId="1" applyNumberFormat="1" applyFont="1" applyBorder="1"/>
    <xf numFmtId="0" fontId="35" fillId="0" borderId="0" xfId="0" applyFont="1"/>
    <xf numFmtId="0" fontId="36" fillId="0" borderId="0" xfId="0" applyFont="1"/>
    <xf numFmtId="0" fontId="0" fillId="0" borderId="0" xfId="0" applyAlignment="1">
      <alignment horizontal="center" vertical="center" wrapText="1"/>
    </xf>
    <xf numFmtId="169" fontId="2" fillId="0" borderId="1" xfId="1" applyNumberFormat="1" applyFont="1" applyBorder="1" applyAlignment="1">
      <alignment wrapText="1"/>
    </xf>
    <xf numFmtId="169" fontId="0" fillId="0" borderId="13" xfId="1" applyNumberFormat="1" applyFont="1" applyBorder="1"/>
    <xf numFmtId="169" fontId="0" fillId="0" borderId="1" xfId="1" applyNumberFormat="1" applyFont="1" applyBorder="1" applyAlignment="1">
      <alignment horizontal="center" wrapText="1"/>
    </xf>
    <xf numFmtId="169" fontId="2" fillId="0" borderId="1" xfId="1" applyNumberFormat="1" applyFont="1" applyFill="1" applyBorder="1" applyAlignment="1"/>
    <xf numFmtId="169" fontId="0" fillId="0" borderId="1" xfId="1" applyNumberFormat="1" applyFont="1" applyBorder="1" applyAlignment="1">
      <alignment horizontal="center"/>
    </xf>
    <xf numFmtId="0" fontId="25" fillId="0" borderId="1" xfId="10" applyBorder="1" applyAlignment="1" applyProtection="1">
      <alignment horizontal="left"/>
    </xf>
    <xf numFmtId="0" fontId="25" fillId="0" borderId="1" xfId="10" applyBorder="1" applyAlignment="1" applyProtection="1"/>
    <xf numFmtId="0" fontId="45" fillId="0" borderId="0" xfId="0" applyFont="1"/>
    <xf numFmtId="0" fontId="0" fillId="0" borderId="15" xfId="0" applyBorder="1" applyAlignment="1">
      <alignment horizontal="centerContinuous"/>
    </xf>
    <xf numFmtId="0" fontId="2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/>
    </xf>
    <xf numFmtId="0" fontId="0" fillId="0" borderId="26" xfId="0" applyBorder="1"/>
    <xf numFmtId="0" fontId="2" fillId="0" borderId="13" xfId="0" applyFont="1" applyBorder="1" applyAlignment="1">
      <alignment horizontal="centerContinuous"/>
    </xf>
    <xf numFmtId="0" fontId="2" fillId="0" borderId="15" xfId="0" applyFont="1" applyBorder="1" applyAlignment="1">
      <alignment horizontal="center" shrinkToFit="1"/>
    </xf>
    <xf numFmtId="169" fontId="0" fillId="0" borderId="27" xfId="1" applyNumberFormat="1" applyFont="1" applyBorder="1"/>
    <xf numFmtId="169" fontId="0" fillId="0" borderId="28" xfId="1" applyNumberFormat="1" applyFont="1" applyBorder="1"/>
    <xf numFmtId="169" fontId="0" fillId="0" borderId="0" xfId="1" applyNumberFormat="1" applyFont="1" applyFill="1" applyBorder="1"/>
    <xf numFmtId="0" fontId="2" fillId="0" borderId="1" xfId="0" applyFont="1" applyBorder="1" applyAlignment="1">
      <alignment horizontal="centerContinuous"/>
    </xf>
    <xf numFmtId="0" fontId="45" fillId="0" borderId="0" xfId="0" applyFont="1" applyProtection="1">
      <protection locked="0"/>
    </xf>
    <xf numFmtId="169" fontId="0" fillId="0" borderId="0" xfId="1" applyNumberFormat="1" applyFont="1" applyFill="1" applyBorder="1" applyProtection="1">
      <protection locked="0"/>
    </xf>
    <xf numFmtId="0" fontId="21" fillId="7" borderId="0" xfId="10" applyFont="1" applyFill="1" applyAlignment="1" applyProtection="1">
      <alignment vertical="center" wrapText="1"/>
    </xf>
    <xf numFmtId="0" fontId="2" fillId="7" borderId="0" xfId="0" applyFont="1" applyFill="1" applyAlignment="1">
      <alignment vertical="center" wrapText="1"/>
    </xf>
    <xf numFmtId="0" fontId="25" fillId="0" borderId="0" xfId="10" applyAlignment="1" applyProtection="1"/>
    <xf numFmtId="0" fontId="46" fillId="0" borderId="0" xfId="0" applyFont="1"/>
    <xf numFmtId="0" fontId="2" fillId="0" borderId="1" xfId="0" applyFont="1" applyBorder="1" applyAlignment="1">
      <alignment horizontal="center" wrapText="1"/>
    </xf>
    <xf numFmtId="167" fontId="11" fillId="0" borderId="0" xfId="0" applyNumberFormat="1" applyFont="1" applyAlignment="1">
      <alignment horizontal="centerContinuous"/>
    </xf>
    <xf numFmtId="169" fontId="40" fillId="0" borderId="1" xfId="10" applyNumberFormat="1" applyFont="1" applyBorder="1" applyAlignment="1" applyProtection="1">
      <alignment wrapText="1"/>
    </xf>
    <xf numFmtId="169" fontId="2" fillId="2" borderId="13" xfId="1" applyNumberFormat="1" applyFont="1" applyFill="1" applyBorder="1" applyAlignment="1">
      <alignment horizontal="left"/>
    </xf>
    <xf numFmtId="169" fontId="2" fillId="2" borderId="14" xfId="1" applyNumberFormat="1" applyFont="1" applyFill="1" applyBorder="1" applyAlignment="1">
      <alignment horizontal="left"/>
    </xf>
    <xf numFmtId="0" fontId="43" fillId="0" borderId="0" xfId="0" applyFont="1" applyAlignment="1" applyProtection="1">
      <alignment horizontal="center"/>
      <protection locked="0"/>
    </xf>
    <xf numFmtId="169" fontId="0" fillId="0" borderId="0" xfId="1" applyNumberFormat="1" applyFont="1" applyProtection="1">
      <protection locked="0"/>
    </xf>
    <xf numFmtId="0" fontId="44" fillId="0" borderId="0" xfId="0" applyFont="1" applyAlignment="1">
      <alignment horizontal="centerContinuous"/>
    </xf>
    <xf numFmtId="49" fontId="19" fillId="0" borderId="0" xfId="3" applyNumberFormat="1" applyFont="1" applyAlignment="1">
      <alignment horizontal="centerContinuous"/>
    </xf>
    <xf numFmtId="44" fontId="19" fillId="0" borderId="0" xfId="3" applyFont="1" applyAlignment="1">
      <alignment horizontal="centerContinuous"/>
    </xf>
    <xf numFmtId="167" fontId="19" fillId="0" borderId="0" xfId="0" applyNumberFormat="1" applyFont="1" applyAlignment="1">
      <alignment horizontal="centerContinuous"/>
    </xf>
    <xf numFmtId="169" fontId="0" fillId="0" borderId="1" xfId="1" applyNumberFormat="1" applyFont="1" applyBorder="1" applyAlignment="1">
      <alignment shrinkToFit="1"/>
    </xf>
    <xf numFmtId="169" fontId="0" fillId="0" borderId="0" xfId="1" applyNumberFormat="1" applyFont="1" applyAlignment="1">
      <alignment horizontal="centerContinuous"/>
    </xf>
    <xf numFmtId="169" fontId="0" fillId="0" borderId="0" xfId="1" applyNumberFormat="1" applyFont="1" applyAlignment="1">
      <alignment horizontal="center"/>
    </xf>
    <xf numFmtId="169" fontId="0" fillId="0" borderId="0" xfId="1" applyNumberFormat="1" applyFont="1" applyBorder="1" applyAlignment="1">
      <alignment horizontal="center"/>
    </xf>
    <xf numFmtId="169" fontId="0" fillId="0" borderId="14" xfId="1" applyNumberFormat="1" applyFont="1" applyBorder="1" applyAlignment="1">
      <alignment horizontal="center"/>
    </xf>
    <xf numFmtId="169" fontId="0" fillId="0" borderId="4" xfId="1" applyNumberFormat="1" applyFont="1" applyBorder="1"/>
    <xf numFmtId="169" fontId="4" fillId="0" borderId="4" xfId="1" applyNumberFormat="1" applyFont="1" applyBorder="1"/>
    <xf numFmtId="169" fontId="4" fillId="0" borderId="0" xfId="1" applyNumberFormat="1" applyFont="1"/>
    <xf numFmtId="169" fontId="0" fillId="0" borderId="19" xfId="1" applyNumberFormat="1" applyFont="1" applyBorder="1"/>
    <xf numFmtId="169" fontId="5" fillId="0" borderId="24" xfId="1" applyNumberFormat="1" applyFont="1" applyBorder="1"/>
    <xf numFmtId="169" fontId="0" fillId="0" borderId="24" xfId="1" applyNumberFormat="1" applyFont="1" applyBorder="1"/>
    <xf numFmtId="43" fontId="0" fillId="0" borderId="4" xfId="1" applyFont="1" applyBorder="1" applyProtection="1"/>
    <xf numFmtId="0" fontId="2" fillId="6" borderId="11" xfId="0" applyFont="1" applyFill="1" applyBorder="1" applyAlignment="1">
      <alignment horizontal="center" wrapText="1" shrinkToFit="1"/>
    </xf>
    <xf numFmtId="0" fontId="10" fillId="6" borderId="11" xfId="0" applyFont="1" applyFill="1" applyBorder="1" applyAlignment="1">
      <alignment horizontal="center" wrapText="1" shrinkToFit="1"/>
    </xf>
    <xf numFmtId="9" fontId="0" fillId="0" borderId="0" xfId="0" applyNumberFormat="1"/>
    <xf numFmtId="43" fontId="0" fillId="0" borderId="0" xfId="1" applyFont="1" applyBorder="1" applyProtection="1"/>
    <xf numFmtId="0" fontId="2" fillId="0" borderId="0" xfId="0" applyFont="1" applyAlignment="1">
      <alignment horizontal="right"/>
    </xf>
    <xf numFmtId="43" fontId="2" fillId="0" borderId="4" xfId="1" applyFont="1" applyBorder="1" applyAlignment="1" applyProtection="1">
      <alignment horizontal="center"/>
    </xf>
    <xf numFmtId="43" fontId="2" fillId="0" borderId="24" xfId="1" applyFont="1" applyBorder="1" applyProtection="1"/>
    <xf numFmtId="43" fontId="2" fillId="0" borderId="0" xfId="1" applyFont="1" applyProtection="1"/>
    <xf numFmtId="0" fontId="40" fillId="0" borderId="0" xfId="0" applyFont="1" applyProtection="1">
      <protection locked="0"/>
    </xf>
    <xf numFmtId="0" fontId="7" fillId="0" borderId="1" xfId="0" applyFont="1" applyBorder="1" applyProtection="1">
      <protection hidden="1"/>
    </xf>
    <xf numFmtId="0" fontId="25" fillId="0" borderId="1" xfId="10" applyBorder="1" applyAlignment="1" applyProtection="1">
      <alignment wrapText="1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9" fontId="0" fillId="2" borderId="29" xfId="1" applyNumberFormat="1" applyFont="1" applyFill="1" applyBorder="1" applyAlignment="1" applyProtection="1">
      <alignment horizontal="center" vertical="top" shrinkToFit="1"/>
    </xf>
    <xf numFmtId="169" fontId="0" fillId="0" borderId="1" xfId="1" applyNumberFormat="1" applyFont="1" applyBorder="1" applyProtection="1"/>
    <xf numFmtId="169" fontId="0" fillId="0" borderId="0" xfId="1" applyNumberFormat="1" applyFont="1" applyProtection="1"/>
    <xf numFmtId="169" fontId="0" fillId="2" borderId="0" xfId="1" applyNumberFormat="1" applyFont="1" applyFill="1" applyBorder="1" applyAlignment="1" applyProtection="1">
      <alignment horizontal="center" shrinkToFit="1"/>
    </xf>
    <xf numFmtId="0" fontId="35" fillId="0" borderId="0" xfId="0" applyFont="1" applyProtection="1">
      <protection hidden="1"/>
    </xf>
    <xf numFmtId="0" fontId="35" fillId="0" borderId="0" xfId="0" applyFont="1" applyAlignment="1">
      <alignment horizontal="centerContinuous"/>
    </xf>
    <xf numFmtId="0" fontId="35" fillId="0" borderId="0" xfId="0" applyFont="1" applyAlignment="1" applyProtection="1">
      <alignment horizontal="centerContinuous"/>
      <protection hidden="1"/>
    </xf>
    <xf numFmtId="169" fontId="2" fillId="0" borderId="0" xfId="1" applyNumberFormat="1" applyFont="1" applyFill="1" applyBorder="1"/>
    <xf numFmtId="43" fontId="2" fillId="0" borderId="0" xfId="1" applyFont="1"/>
    <xf numFmtId="9" fontId="2" fillId="0" borderId="14" xfId="14" applyFont="1" applyBorder="1"/>
    <xf numFmtId="0" fontId="25" fillId="0" borderId="0" xfId="10" applyAlignment="1" applyProtection="1">
      <alignment vertical="center" wrapText="1"/>
    </xf>
    <xf numFmtId="0" fontId="25" fillId="2" borderId="0" xfId="10" applyFill="1" applyAlignment="1" applyProtection="1">
      <alignment horizontal="centerContinuous" vertical="center" wrapText="1"/>
    </xf>
    <xf numFmtId="0" fontId="25" fillId="2" borderId="0" xfId="10" applyFill="1" applyAlignment="1" applyProtection="1">
      <alignment vertical="center" wrapText="1"/>
    </xf>
    <xf numFmtId="49" fontId="2" fillId="0" borderId="0" xfId="0" applyNumberFormat="1" applyFont="1" applyAlignment="1">
      <alignment horizontal="centerContinuous"/>
    </xf>
    <xf numFmtId="49" fontId="11" fillId="0" borderId="0" xfId="0" applyNumberFormat="1" applyFont="1" applyAlignment="1">
      <alignment horizontal="centerContinuous"/>
    </xf>
    <xf numFmtId="0" fontId="11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49" fontId="0" fillId="0" borderId="14" xfId="0" applyNumberFormat="1" applyBorder="1" applyAlignment="1" applyProtection="1">
      <alignment horizontal="center"/>
      <protection locked="0"/>
    </xf>
    <xf numFmtId="169" fontId="0" fillId="0" borderId="14" xfId="1" applyNumberFormat="1" applyFont="1" applyFill="1" applyBorder="1" applyProtection="1"/>
    <xf numFmtId="43" fontId="0" fillId="0" borderId="26" xfId="1" applyFont="1" applyFill="1" applyBorder="1"/>
    <xf numFmtId="0" fontId="36" fillId="0" borderId="0" xfId="0" quotePrefix="1" applyFont="1"/>
    <xf numFmtId="169" fontId="0" fillId="2" borderId="1" xfId="1" applyNumberFormat="1" applyFont="1" applyFill="1" applyBorder="1"/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/>
    </xf>
    <xf numFmtId="169" fontId="0" fillId="3" borderId="1" xfId="1" applyNumberFormat="1" applyFont="1" applyFill="1" applyBorder="1" applyProtection="1">
      <protection locked="0"/>
    </xf>
    <xf numFmtId="43" fontId="44" fillId="0" borderId="0" xfId="1" applyFont="1" applyAlignment="1" applyProtection="1">
      <alignment horizontal="left"/>
      <protection hidden="1"/>
    </xf>
    <xf numFmtId="0" fontId="43" fillId="0" borderId="0" xfId="0" applyFont="1" applyAlignment="1" applyProtection="1">
      <alignment horizontal="center"/>
      <protection hidden="1"/>
    </xf>
    <xf numFmtId="0" fontId="0" fillId="3" borderId="30" xfId="0" applyFill="1" applyBorder="1" applyProtection="1">
      <protection locked="0"/>
    </xf>
    <xf numFmtId="43" fontId="0" fillId="3" borderId="30" xfId="1" applyFont="1" applyFill="1" applyBorder="1" applyProtection="1">
      <protection locked="0"/>
    </xf>
    <xf numFmtId="0" fontId="0" fillId="3" borderId="31" xfId="0" applyFill="1" applyBorder="1" applyProtection="1">
      <protection locked="0"/>
    </xf>
    <xf numFmtId="43" fontId="0" fillId="3" borderId="31" xfId="1" applyFont="1" applyFill="1" applyBorder="1" applyProtection="1">
      <protection locked="0"/>
    </xf>
    <xf numFmtId="0" fontId="0" fillId="3" borderId="32" xfId="0" applyFill="1" applyBorder="1" applyProtection="1">
      <protection locked="0"/>
    </xf>
    <xf numFmtId="43" fontId="0" fillId="3" borderId="32" xfId="1" applyFont="1" applyFill="1" applyBorder="1" applyProtection="1">
      <protection locked="0"/>
    </xf>
    <xf numFmtId="43" fontId="2" fillId="0" borderId="4" xfId="1" applyFont="1" applyBorder="1" applyProtection="1"/>
    <xf numFmtId="169" fontId="11" fillId="0" borderId="0" xfId="1" applyNumberFormat="1" applyFont="1" applyAlignment="1" applyProtection="1">
      <alignment horizontal="centerContinuous"/>
    </xf>
    <xf numFmtId="169" fontId="13" fillId="0" borderId="0" xfId="1" applyNumberFormat="1" applyFont="1" applyAlignment="1" applyProtection="1">
      <alignment horizontal="centerContinuous"/>
    </xf>
    <xf numFmtId="169" fontId="11" fillId="0" borderId="0" xfId="1" applyNumberFormat="1" applyFont="1" applyAlignment="1" applyProtection="1">
      <alignment horizontal="center"/>
    </xf>
    <xf numFmtId="169" fontId="2" fillId="0" borderId="0" xfId="1" applyNumberFormat="1" applyFont="1" applyBorder="1" applyAlignment="1" applyProtection="1">
      <alignment horizontal="center"/>
    </xf>
    <xf numFmtId="169" fontId="2" fillId="0" borderId="5" xfId="1" applyNumberFormat="1" applyFont="1" applyBorder="1" applyAlignment="1" applyProtection="1">
      <alignment horizontal="center"/>
    </xf>
    <xf numFmtId="169" fontId="0" fillId="3" borderId="30" xfId="1" applyNumberFormat="1" applyFont="1" applyFill="1" applyBorder="1" applyProtection="1">
      <protection locked="0"/>
    </xf>
    <xf numFmtId="169" fontId="0" fillId="3" borderId="31" xfId="1" applyNumberFormat="1" applyFont="1" applyFill="1" applyBorder="1" applyProtection="1">
      <protection locked="0"/>
    </xf>
    <xf numFmtId="169" fontId="0" fillId="3" borderId="32" xfId="1" applyNumberFormat="1" applyFont="1" applyFill="1" applyBorder="1" applyProtection="1">
      <protection locked="0"/>
    </xf>
    <xf numFmtId="169" fontId="2" fillId="0" borderId="0" xfId="1" applyNumberFormat="1" applyFont="1" applyProtection="1"/>
    <xf numFmtId="0" fontId="0" fillId="3" borderId="33" xfId="0" applyFill="1" applyBorder="1" applyProtection="1">
      <protection locked="0"/>
    </xf>
    <xf numFmtId="169" fontId="0" fillId="3" borderId="34" xfId="1" applyNumberFormat="1" applyFont="1" applyFill="1" applyBorder="1" applyProtection="1">
      <protection locked="0"/>
    </xf>
    <xf numFmtId="9" fontId="2" fillId="0" borderId="23" xfId="14" applyFont="1" applyBorder="1"/>
    <xf numFmtId="9" fontId="2" fillId="0" borderId="35" xfId="14" applyFont="1" applyBorder="1"/>
    <xf numFmtId="0" fontId="0" fillId="0" borderId="22" xfId="0" applyBorder="1"/>
    <xf numFmtId="0" fontId="0" fillId="0" borderId="16" xfId="0" applyBorder="1"/>
    <xf numFmtId="0" fontId="2" fillId="0" borderId="35" xfId="0" applyFont="1" applyBorder="1"/>
    <xf numFmtId="0" fontId="2" fillId="0" borderId="23" xfId="0" applyFont="1" applyBorder="1"/>
    <xf numFmtId="169" fontId="0" fillId="0" borderId="36" xfId="0" applyNumberFormat="1" applyBorder="1"/>
    <xf numFmtId="169" fontId="0" fillId="0" borderId="27" xfId="0" applyNumberFormat="1" applyBorder="1"/>
    <xf numFmtId="169" fontId="0" fillId="0" borderId="28" xfId="0" applyNumberFormat="1" applyBorder="1"/>
    <xf numFmtId="0" fontId="0" fillId="0" borderId="15" xfId="0" applyBorder="1"/>
    <xf numFmtId="0" fontId="35" fillId="0" borderId="13" xfId="0" applyFont="1" applyBorder="1"/>
    <xf numFmtId="0" fontId="0" fillId="0" borderId="37" xfId="0" applyBorder="1"/>
    <xf numFmtId="0" fontId="0" fillId="0" borderId="27" xfId="0" applyBorder="1"/>
    <xf numFmtId="0" fontId="0" fillId="0" borderId="28" xfId="0" applyBorder="1"/>
    <xf numFmtId="169" fontId="0" fillId="3" borderId="38" xfId="1" applyNumberFormat="1" applyFont="1" applyFill="1" applyBorder="1" applyProtection="1">
      <protection locked="0"/>
    </xf>
    <xf numFmtId="9" fontId="2" fillId="0" borderId="23" xfId="14" applyFont="1" applyBorder="1" applyProtection="1">
      <protection hidden="1"/>
    </xf>
    <xf numFmtId="9" fontId="2" fillId="0" borderId="35" xfId="14" applyFont="1" applyBorder="1" applyProtection="1">
      <protection hidden="1"/>
    </xf>
    <xf numFmtId="9" fontId="2" fillId="0" borderId="14" xfId="14" applyFont="1" applyBorder="1" applyProtection="1">
      <protection hidden="1"/>
    </xf>
    <xf numFmtId="0" fontId="0" fillId="0" borderId="0" xfId="0" applyProtection="1">
      <protection hidden="1"/>
    </xf>
    <xf numFmtId="169" fontId="0" fillId="0" borderId="30" xfId="1" applyNumberFormat="1" applyFont="1" applyBorder="1"/>
    <xf numFmtId="169" fontId="0" fillId="0" borderId="31" xfId="1" applyNumberFormat="1" applyFont="1" applyBorder="1"/>
    <xf numFmtId="169" fontId="0" fillId="0" borderId="32" xfId="1" applyNumberFormat="1" applyFont="1" applyBorder="1"/>
    <xf numFmtId="0" fontId="2" fillId="0" borderId="0" xfId="0" applyFont="1" applyAlignment="1">
      <alignment horizontal="center" wrapText="1"/>
    </xf>
    <xf numFmtId="169" fontId="0" fillId="3" borderId="30" xfId="1" applyNumberFormat="1" applyFont="1" applyFill="1" applyBorder="1" applyAlignment="1" applyProtection="1">
      <alignment shrinkToFit="1"/>
      <protection locked="0"/>
    </xf>
    <xf numFmtId="169" fontId="0" fillId="3" borderId="31" xfId="1" applyNumberFormat="1" applyFont="1" applyFill="1" applyBorder="1" applyAlignment="1" applyProtection="1">
      <alignment shrinkToFit="1"/>
      <protection locked="0"/>
    </xf>
    <xf numFmtId="169" fontId="0" fillId="3" borderId="32" xfId="1" applyNumberFormat="1" applyFont="1" applyFill="1" applyBorder="1" applyAlignment="1" applyProtection="1">
      <alignment shrinkToFit="1"/>
      <protection locked="0"/>
    </xf>
    <xf numFmtId="169" fontId="0" fillId="0" borderId="30" xfId="1" applyNumberFormat="1" applyFont="1" applyBorder="1" applyProtection="1"/>
    <xf numFmtId="169" fontId="0" fillId="0" borderId="31" xfId="1" applyNumberFormat="1" applyFont="1" applyBorder="1" applyProtection="1"/>
    <xf numFmtId="169" fontId="0" fillId="0" borderId="32" xfId="1" applyNumberFormat="1" applyFont="1" applyBorder="1" applyProtection="1"/>
    <xf numFmtId="0" fontId="2" fillId="2" borderId="1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left" vertical="top" wrapText="1"/>
    </xf>
    <xf numFmtId="10" fontId="2" fillId="2" borderId="23" xfId="14" applyNumberFormat="1" applyFont="1" applyFill="1" applyBorder="1" applyAlignment="1">
      <alignment horizontal="center" vertical="top" wrapText="1"/>
    </xf>
    <xf numFmtId="0" fontId="0" fillId="0" borderId="29" xfId="0" applyBorder="1"/>
    <xf numFmtId="0" fontId="43" fillId="2" borderId="35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15" fontId="43" fillId="2" borderId="18" xfId="0" applyNumberFormat="1" applyFont="1" applyFill="1" applyBorder="1" applyAlignment="1">
      <alignment horizontal="center" vertical="center" wrapText="1"/>
    </xf>
    <xf numFmtId="15" fontId="43" fillId="2" borderId="22" xfId="0" applyNumberFormat="1" applyFont="1" applyFill="1" applyBorder="1" applyAlignment="1">
      <alignment horizontal="center" vertical="center" wrapText="1"/>
    </xf>
    <xf numFmtId="43" fontId="0" fillId="0" borderId="30" xfId="1" applyFont="1" applyFill="1" applyBorder="1" applyProtection="1"/>
    <xf numFmtId="43" fontId="0" fillId="0" borderId="30" xfId="1" applyFont="1" applyBorder="1" applyProtection="1"/>
    <xf numFmtId="43" fontId="0" fillId="0" borderId="31" xfId="1" applyFont="1" applyBorder="1" applyProtection="1"/>
    <xf numFmtId="43" fontId="0" fillId="0" borderId="32" xfId="1" applyFont="1" applyBorder="1" applyProtection="1"/>
    <xf numFmtId="43" fontId="0" fillId="0" borderId="33" xfId="1" applyFont="1" applyFill="1" applyBorder="1" applyProtection="1"/>
    <xf numFmtId="169" fontId="1" fillId="0" borderId="0" xfId="1" applyNumberFormat="1" applyProtection="1"/>
    <xf numFmtId="43" fontId="1" fillId="0" borderId="0" xfId="1" applyProtection="1"/>
    <xf numFmtId="169" fontId="1" fillId="0" borderId="0" xfId="1" applyNumberFormat="1" applyProtection="1">
      <protection locked="0"/>
    </xf>
    <xf numFmtId="43" fontId="1" fillId="0" borderId="0" xfId="1" applyProtection="1">
      <protection locked="0"/>
    </xf>
    <xf numFmtId="0" fontId="43" fillId="2" borderId="23" xfId="0" applyFont="1" applyFill="1" applyBorder="1" applyAlignment="1">
      <alignment horizontal="center" vertical="center" wrapText="1"/>
    </xf>
    <xf numFmtId="43" fontId="1" fillId="3" borderId="30" xfId="1" applyFont="1" applyFill="1" applyBorder="1" applyProtection="1">
      <protection locked="0"/>
    </xf>
    <xf numFmtId="169" fontId="1" fillId="3" borderId="30" xfId="1" applyNumberFormat="1" applyFill="1" applyBorder="1" applyProtection="1">
      <protection locked="0"/>
    </xf>
    <xf numFmtId="43" fontId="1" fillId="3" borderId="30" xfId="1" applyFill="1" applyBorder="1" applyProtection="1">
      <protection locked="0"/>
    </xf>
    <xf numFmtId="43" fontId="1" fillId="0" borderId="30" xfId="1" applyBorder="1" applyProtection="1"/>
    <xf numFmtId="43" fontId="1" fillId="3" borderId="31" xfId="1" applyFont="1" applyFill="1" applyBorder="1" applyProtection="1">
      <protection locked="0"/>
    </xf>
    <xf numFmtId="169" fontId="1" fillId="3" borderId="31" xfId="1" applyNumberFormat="1" applyFill="1" applyBorder="1" applyProtection="1">
      <protection locked="0"/>
    </xf>
    <xf numFmtId="43" fontId="1" fillId="3" borderId="31" xfId="1" applyFill="1" applyBorder="1" applyProtection="1">
      <protection locked="0"/>
    </xf>
    <xf numFmtId="43" fontId="1" fillId="0" borderId="31" xfId="1" applyBorder="1" applyProtection="1"/>
    <xf numFmtId="43" fontId="1" fillId="3" borderId="32" xfId="1" applyFill="1" applyBorder="1" applyProtection="1">
      <protection locked="0"/>
    </xf>
    <xf numFmtId="43" fontId="1" fillId="3" borderId="33" xfId="1" applyFill="1" applyBorder="1" applyProtection="1">
      <protection locked="0"/>
    </xf>
    <xf numFmtId="169" fontId="1" fillId="3" borderId="33" xfId="1" applyNumberFormat="1" applyFill="1" applyBorder="1" applyProtection="1">
      <protection locked="0"/>
    </xf>
    <xf numFmtId="43" fontId="1" fillId="0" borderId="14" xfId="1" applyBorder="1" applyProtection="1"/>
    <xf numFmtId="43" fontId="2" fillId="0" borderId="26" xfId="1" applyFont="1" applyBorder="1" applyProtection="1"/>
    <xf numFmtId="0" fontId="7" fillId="2" borderId="1" xfId="0" applyFont="1" applyFill="1" applyBorder="1" applyProtection="1">
      <protection hidden="1"/>
    </xf>
    <xf numFmtId="0" fontId="14" fillId="0" borderId="1" xfId="0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14" fillId="8" borderId="1" xfId="0" applyFont="1" applyFill="1" applyBorder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14" fillId="0" borderId="1" xfId="0" applyFont="1" applyBorder="1" applyProtection="1">
      <protection hidden="1"/>
    </xf>
    <xf numFmtId="0" fontId="14" fillId="0" borderId="0" xfId="0" applyFont="1" applyProtection="1">
      <protection hidden="1"/>
    </xf>
    <xf numFmtId="0" fontId="47" fillId="0" borderId="1" xfId="10" applyFont="1" applyFill="1" applyBorder="1" applyAlignment="1" applyProtection="1">
      <protection hidden="1"/>
    </xf>
    <xf numFmtId="169" fontId="0" fillId="0" borderId="39" xfId="1" applyNumberFormat="1" applyFont="1" applyBorder="1" applyProtection="1"/>
    <xf numFmtId="169" fontId="0" fillId="0" borderId="30" xfId="1" applyNumberFormat="1" applyFont="1" applyBorder="1" applyAlignment="1" applyProtection="1">
      <alignment horizontal="center"/>
    </xf>
    <xf numFmtId="169" fontId="0" fillId="0" borderId="31" xfId="1" applyNumberFormat="1" applyFont="1" applyBorder="1" applyAlignment="1" applyProtection="1">
      <alignment horizontal="center"/>
    </xf>
    <xf numFmtId="169" fontId="0" fillId="0" borderId="32" xfId="1" applyNumberFormat="1" applyFont="1" applyFill="1" applyBorder="1" applyProtection="1"/>
    <xf numFmtId="0" fontId="35" fillId="0" borderId="0" xfId="0" applyFont="1" applyProtection="1">
      <protection locked="0"/>
    </xf>
    <xf numFmtId="0" fontId="0" fillId="0" borderId="23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9" fontId="0" fillId="0" borderId="30" xfId="1" applyNumberFormat="1" applyFont="1" applyBorder="1" applyAlignment="1">
      <alignment shrinkToFit="1"/>
    </xf>
    <xf numFmtId="169" fontId="0" fillId="0" borderId="31" xfId="1" applyNumberFormat="1" applyFont="1" applyBorder="1" applyAlignment="1">
      <alignment shrinkToFit="1"/>
    </xf>
    <xf numFmtId="169" fontId="0" fillId="0" borderId="32" xfId="1" applyNumberFormat="1" applyFont="1" applyBorder="1" applyAlignment="1">
      <alignment shrinkToFit="1"/>
    </xf>
    <xf numFmtId="43" fontId="0" fillId="0" borderId="30" xfId="1" applyFont="1" applyFill="1" applyBorder="1" applyAlignment="1" applyProtection="1">
      <alignment shrinkToFit="1"/>
    </xf>
    <xf numFmtId="169" fontId="0" fillId="0" borderId="40" xfId="1" applyNumberFormat="1" applyFont="1" applyFill="1" applyBorder="1" applyAlignment="1">
      <alignment horizontal="center" shrinkToFit="1"/>
    </xf>
    <xf numFmtId="43" fontId="0" fillId="0" borderId="31" xfId="1" applyFont="1" applyFill="1" applyBorder="1" applyAlignment="1" applyProtection="1">
      <alignment shrinkToFit="1"/>
    </xf>
    <xf numFmtId="169" fontId="0" fillId="0" borderId="41" xfId="1" applyNumberFormat="1" applyFont="1" applyFill="1" applyBorder="1" applyAlignment="1">
      <alignment horizontal="center" shrinkToFit="1"/>
    </xf>
    <xf numFmtId="43" fontId="0" fillId="0" borderId="32" xfId="1" applyFont="1" applyFill="1" applyBorder="1" applyAlignment="1" applyProtection="1">
      <alignment shrinkToFit="1"/>
    </xf>
    <xf numFmtId="169" fontId="0" fillId="0" borderId="42" xfId="1" applyNumberFormat="1" applyFont="1" applyFill="1" applyBorder="1" applyAlignment="1">
      <alignment horizontal="center" shrinkToFit="1"/>
    </xf>
    <xf numFmtId="169" fontId="0" fillId="0" borderId="30" xfId="1" applyNumberFormat="1" applyFont="1" applyFill="1" applyBorder="1" applyAlignment="1" applyProtection="1">
      <alignment shrinkToFit="1"/>
    </xf>
    <xf numFmtId="169" fontId="0" fillId="0" borderId="39" xfId="1" applyNumberFormat="1" applyFont="1" applyFill="1" applyBorder="1" applyAlignment="1" applyProtection="1">
      <alignment shrinkToFit="1"/>
    </xf>
    <xf numFmtId="169" fontId="0" fillId="0" borderId="35" xfId="1" applyNumberFormat="1" applyFont="1" applyFill="1" applyBorder="1" applyAlignment="1" applyProtection="1">
      <alignment shrinkToFit="1"/>
    </xf>
    <xf numFmtId="169" fontId="0" fillId="0" borderId="40" xfId="1" applyNumberFormat="1" applyFont="1" applyFill="1" applyBorder="1" applyAlignment="1" applyProtection="1">
      <alignment shrinkToFit="1"/>
    </xf>
    <xf numFmtId="169" fontId="0" fillId="0" borderId="41" xfId="1" applyNumberFormat="1" applyFont="1" applyFill="1" applyBorder="1" applyAlignment="1" applyProtection="1">
      <alignment shrinkToFit="1"/>
    </xf>
    <xf numFmtId="169" fontId="0" fillId="0" borderId="42" xfId="1" applyNumberFormat="1" applyFont="1" applyFill="1" applyBorder="1" applyAlignment="1" applyProtection="1">
      <alignment shrinkToFit="1"/>
    </xf>
    <xf numFmtId="169" fontId="0" fillId="0" borderId="0" xfId="1" applyNumberFormat="1" applyFont="1" applyAlignment="1">
      <alignment shrinkToFit="1"/>
    </xf>
    <xf numFmtId="0" fontId="43" fillId="2" borderId="18" xfId="0" applyFont="1" applyFill="1" applyBorder="1" applyAlignment="1">
      <alignment horizontal="centerContinuous" vertical="center"/>
    </xf>
    <xf numFmtId="0" fontId="43" fillId="2" borderId="23" xfId="0" applyFont="1" applyFill="1" applyBorder="1" applyAlignment="1">
      <alignment horizontal="center"/>
    </xf>
    <xf numFmtId="0" fontId="43" fillId="2" borderId="23" xfId="0" applyFont="1" applyFill="1" applyBorder="1" applyAlignment="1">
      <alignment horizontal="center" vertical="center"/>
    </xf>
    <xf numFmtId="169" fontId="43" fillId="2" borderId="23" xfId="1" applyNumberFormat="1" applyFont="1" applyFill="1" applyBorder="1" applyAlignment="1">
      <alignment horizontal="center"/>
    </xf>
    <xf numFmtId="0" fontId="43" fillId="2" borderId="22" xfId="0" applyFont="1" applyFill="1" applyBorder="1" applyAlignment="1">
      <alignment horizontal="centerContinuous" vertical="center"/>
    </xf>
    <xf numFmtId="0" fontId="43" fillId="2" borderId="35" xfId="0" applyFont="1" applyFill="1" applyBorder="1" applyAlignment="1">
      <alignment horizontal="center"/>
    </xf>
    <xf numFmtId="0" fontId="44" fillId="2" borderId="35" xfId="0" applyFont="1" applyFill="1" applyBorder="1" applyAlignment="1">
      <alignment horizontal="center" vertical="center"/>
    </xf>
    <xf numFmtId="169" fontId="43" fillId="2" borderId="35" xfId="1" applyNumberFormat="1" applyFont="1" applyFill="1" applyBorder="1" applyAlignment="1">
      <alignment horizontal="center"/>
    </xf>
    <xf numFmtId="0" fontId="43" fillId="2" borderId="16" xfId="0" applyFont="1" applyFill="1" applyBorder="1" applyAlignment="1">
      <alignment horizontal="centerContinuous" vertical="center"/>
    </xf>
    <xf numFmtId="15" fontId="43" fillId="2" borderId="29" xfId="0" applyNumberFormat="1" applyFont="1" applyFill="1" applyBorder="1" applyAlignment="1">
      <alignment horizontal="center" vertical="center" wrapText="1"/>
    </xf>
    <xf numFmtId="15" fontId="43" fillId="2" borderId="16" xfId="0" applyNumberFormat="1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/>
    </xf>
    <xf numFmtId="0" fontId="44" fillId="2" borderId="29" xfId="0" applyFont="1" applyFill="1" applyBorder="1" applyAlignment="1">
      <alignment horizontal="center" vertical="center"/>
    </xf>
    <xf numFmtId="169" fontId="43" fillId="2" borderId="29" xfId="1" applyNumberFormat="1" applyFont="1" applyFill="1" applyBorder="1" applyAlignment="1">
      <alignment horizontal="center"/>
    </xf>
    <xf numFmtId="9" fontId="44" fillId="2" borderId="29" xfId="14" applyFont="1" applyFill="1" applyBorder="1" applyAlignment="1">
      <alignment horizontal="center"/>
    </xf>
    <xf numFmtId="169" fontId="41" fillId="3" borderId="1" xfId="1" applyNumberFormat="1" applyFont="1" applyFill="1" applyBorder="1" applyAlignment="1" applyProtection="1">
      <alignment horizontal="center" shrinkToFit="1"/>
      <protection locked="0"/>
    </xf>
    <xf numFmtId="176" fontId="41" fillId="0" borderId="29" xfId="1" applyNumberFormat="1" applyFont="1" applyBorder="1" applyAlignment="1" applyProtection="1">
      <alignment horizontal="center" shrinkToFit="1"/>
    </xf>
    <xf numFmtId="169" fontId="43" fillId="0" borderId="37" xfId="1" applyNumberFormat="1" applyFont="1" applyFill="1" applyBorder="1" applyAlignment="1">
      <alignment shrinkToFit="1"/>
    </xf>
    <xf numFmtId="169" fontId="43" fillId="2" borderId="26" xfId="1" applyNumberFormat="1" applyFont="1" applyFill="1" applyBorder="1" applyAlignment="1">
      <alignment horizontal="center" shrinkToFit="1"/>
    </xf>
    <xf numFmtId="169" fontId="43" fillId="2" borderId="26" xfId="1" applyNumberFormat="1" applyFont="1" applyFill="1" applyBorder="1" applyAlignment="1">
      <alignment shrinkToFit="1"/>
    </xf>
    <xf numFmtId="169" fontId="43" fillId="2" borderId="27" xfId="1" applyNumberFormat="1" applyFont="1" applyFill="1" applyBorder="1" applyAlignment="1">
      <alignment horizontal="center" shrinkToFit="1"/>
    </xf>
    <xf numFmtId="169" fontId="0" fillId="0" borderId="38" xfId="1" applyNumberFormat="1" applyFont="1" applyFill="1" applyBorder="1" applyAlignment="1">
      <alignment shrinkToFit="1"/>
    </xf>
    <xf numFmtId="169" fontId="0" fillId="0" borderId="43" xfId="1" applyNumberFormat="1" applyFont="1" applyFill="1" applyBorder="1" applyAlignment="1">
      <alignment shrinkToFit="1"/>
    </xf>
    <xf numFmtId="169" fontId="0" fillId="0" borderId="37" xfId="0" applyNumberFormat="1" applyBorder="1" applyAlignment="1">
      <alignment shrinkToFit="1"/>
    </xf>
    <xf numFmtId="169" fontId="0" fillId="0" borderId="0" xfId="0" applyNumberFormat="1" applyAlignment="1">
      <alignment shrinkToFit="1"/>
    </xf>
    <xf numFmtId="169" fontId="0" fillId="0" borderId="0" xfId="1" applyNumberFormat="1" applyFont="1" applyFill="1" applyBorder="1" applyAlignment="1">
      <alignment shrinkToFit="1"/>
    </xf>
    <xf numFmtId="169" fontId="0" fillId="3" borderId="34" xfId="1" applyNumberFormat="1" applyFont="1" applyFill="1" applyBorder="1" applyAlignment="1" applyProtection="1">
      <alignment shrinkToFit="1"/>
      <protection locked="0"/>
    </xf>
    <xf numFmtId="169" fontId="0" fillId="0" borderId="34" xfId="1" applyNumberFormat="1" applyFont="1" applyFill="1" applyBorder="1" applyAlignment="1">
      <alignment shrinkToFit="1"/>
    </xf>
    <xf numFmtId="169" fontId="0" fillId="3" borderId="44" xfId="1" applyNumberFormat="1" applyFont="1" applyFill="1" applyBorder="1" applyAlignment="1" applyProtection="1">
      <alignment shrinkToFit="1"/>
      <protection locked="0"/>
    </xf>
    <xf numFmtId="169" fontId="0" fillId="0" borderId="14" xfId="0" applyNumberFormat="1" applyBorder="1" applyAlignment="1">
      <alignment shrinkToFit="1"/>
    </xf>
    <xf numFmtId="0" fontId="0" fillId="0" borderId="0" xfId="0" applyAlignment="1">
      <alignment shrinkToFit="1"/>
    </xf>
    <xf numFmtId="169" fontId="0" fillId="3" borderId="38" xfId="1" applyNumberFormat="1" applyFont="1" applyFill="1" applyBorder="1" applyAlignment="1" applyProtection="1">
      <alignment shrinkToFit="1"/>
      <protection locked="0"/>
    </xf>
    <xf numFmtId="169" fontId="0" fillId="0" borderId="44" xfId="1" applyNumberFormat="1" applyFont="1" applyFill="1" applyBorder="1" applyAlignment="1">
      <alignment shrinkToFit="1"/>
    </xf>
    <xf numFmtId="169" fontId="2" fillId="0" borderId="23" xfId="1" applyNumberFormat="1" applyFont="1" applyBorder="1" applyAlignment="1">
      <alignment shrinkToFit="1"/>
    </xf>
    <xf numFmtId="169" fontId="2" fillId="0" borderId="35" xfId="1" applyNumberFormat="1" applyFont="1" applyBorder="1" applyAlignment="1">
      <alignment shrinkToFit="1"/>
    </xf>
    <xf numFmtId="169" fontId="0" fillId="0" borderId="36" xfId="1" applyNumberFormat="1" applyFont="1" applyFill="1" applyBorder="1" applyAlignment="1">
      <alignment shrinkToFit="1"/>
    </xf>
    <xf numFmtId="169" fontId="2" fillId="0" borderId="0" xfId="1" applyNumberFormat="1" applyFont="1" applyAlignment="1">
      <alignment shrinkToFit="1"/>
    </xf>
    <xf numFmtId="169" fontId="0" fillId="0" borderId="14" xfId="1" applyNumberFormat="1" applyFont="1" applyBorder="1" applyAlignment="1">
      <alignment shrinkToFit="1"/>
    </xf>
    <xf numFmtId="169" fontId="0" fillId="0" borderId="37" xfId="1" applyNumberFormat="1" applyFont="1" applyBorder="1" applyAlignment="1">
      <alignment shrinkToFit="1"/>
    </xf>
    <xf numFmtId="169" fontId="2" fillId="2" borderId="28" xfId="1" applyNumberFormat="1" applyFont="1" applyFill="1" applyBorder="1" applyAlignment="1">
      <alignment horizontal="left"/>
    </xf>
    <xf numFmtId="169" fontId="2" fillId="0" borderId="28" xfId="1" applyNumberFormat="1" applyFont="1" applyFill="1" applyBorder="1" applyAlignment="1">
      <alignment horizontal="left"/>
    </xf>
    <xf numFmtId="169" fontId="0" fillId="0" borderId="30" xfId="1" applyNumberFormat="1" applyFont="1" applyFill="1" applyBorder="1" applyProtection="1"/>
    <xf numFmtId="169" fontId="0" fillId="0" borderId="31" xfId="1" applyNumberFormat="1" applyFont="1" applyFill="1" applyBorder="1" applyProtection="1"/>
    <xf numFmtId="0" fontId="2" fillId="2" borderId="23" xfId="0" applyFont="1" applyFill="1" applyBorder="1" applyAlignment="1">
      <alignment horizontal="center" vertical="top" wrapText="1" shrinkToFit="1"/>
    </xf>
    <xf numFmtId="0" fontId="2" fillId="2" borderId="15" xfId="0" applyFont="1" applyFill="1" applyBorder="1" applyAlignment="1">
      <alignment horizontal="center" vertical="top" wrapText="1" shrinkToFit="1"/>
    </xf>
    <xf numFmtId="0" fontId="2" fillId="2" borderId="1" xfId="0" applyFont="1" applyFill="1" applyBorder="1" applyAlignment="1">
      <alignment horizontal="center" vertical="top" wrapText="1" shrinkToFit="1"/>
    </xf>
    <xf numFmtId="169" fontId="2" fillId="0" borderId="37" xfId="1" applyNumberFormat="1" applyFont="1" applyFill="1" applyBorder="1" applyAlignment="1"/>
    <xf numFmtId="169" fontId="2" fillId="2" borderId="37" xfId="1" applyNumberFormat="1" applyFont="1" applyFill="1" applyBorder="1" applyAlignment="1">
      <alignment horizontal="left"/>
    </xf>
    <xf numFmtId="169" fontId="2" fillId="2" borderId="27" xfId="1" applyNumberFormat="1" applyFont="1" applyFill="1" applyBorder="1" applyAlignment="1">
      <alignment horizontal="left"/>
    </xf>
    <xf numFmtId="169" fontId="2" fillId="2" borderId="26" xfId="1" applyNumberFormat="1" applyFont="1" applyFill="1" applyBorder="1" applyAlignment="1">
      <alignment horizontal="left"/>
    </xf>
    <xf numFmtId="0" fontId="12" fillId="0" borderId="0" xfId="0" applyFont="1" applyAlignment="1">
      <alignment horizontal="justify"/>
    </xf>
    <xf numFmtId="0" fontId="2" fillId="0" borderId="15" xfId="0" applyFont="1" applyBorder="1" applyAlignment="1">
      <alignment horizontal="center" vertical="center"/>
    </xf>
    <xf numFmtId="169" fontId="0" fillId="0" borderId="21" xfId="1" applyNumberFormat="1" applyFont="1" applyBorder="1" applyAlignment="1">
      <alignment shrinkToFit="1"/>
    </xf>
    <xf numFmtId="0" fontId="0" fillId="0" borderId="22" xfId="0" quotePrefix="1" applyBorder="1"/>
    <xf numFmtId="0" fontId="13" fillId="0" borderId="26" xfId="0" applyFont="1" applyBorder="1" applyAlignment="1">
      <alignment horizontal="center"/>
    </xf>
    <xf numFmtId="169" fontId="2" fillId="0" borderId="28" xfId="1" applyNumberFormat="1" applyFont="1" applyFill="1" applyBorder="1" applyAlignment="1">
      <alignment shrinkToFit="1"/>
    </xf>
    <xf numFmtId="0" fontId="0" fillId="0" borderId="13" xfId="0" applyBorder="1"/>
    <xf numFmtId="0" fontId="12" fillId="0" borderId="4" xfId="0" applyFont="1" applyBorder="1" applyAlignment="1">
      <alignment horizontal="justify"/>
    </xf>
    <xf numFmtId="0" fontId="7" fillId="0" borderId="1" xfId="0" applyFont="1" applyBorder="1" applyAlignment="1" applyProtection="1">
      <alignment shrinkToFit="1"/>
      <protection hidden="1"/>
    </xf>
    <xf numFmtId="169" fontId="0" fillId="0" borderId="34" xfId="1" applyNumberFormat="1" applyFont="1" applyFill="1" applyBorder="1" applyProtection="1"/>
    <xf numFmtId="169" fontId="0" fillId="0" borderId="38" xfId="1" applyNumberFormat="1" applyFont="1" applyFill="1" applyBorder="1" applyProtection="1"/>
    <xf numFmtId="169" fontId="0" fillId="2" borderId="21" xfId="1" applyNumberFormat="1" applyFont="1" applyFill="1" applyBorder="1" applyAlignment="1" applyProtection="1">
      <alignment shrinkToFit="1"/>
    </xf>
    <xf numFmtId="169" fontId="0" fillId="0" borderId="0" xfId="1" applyNumberFormat="1" applyFont="1" applyAlignment="1" applyProtection="1">
      <alignment wrapText="1"/>
    </xf>
    <xf numFmtId="43" fontId="2" fillId="0" borderId="0" xfId="1" applyFont="1" applyBorder="1" applyAlignment="1" applyProtection="1">
      <alignment horizontal="center" wrapText="1"/>
    </xf>
    <xf numFmtId="43" fontId="2" fillId="0" borderId="0" xfId="1" applyFont="1" applyBorder="1"/>
    <xf numFmtId="43" fontId="6" fillId="0" borderId="0" xfId="1" applyFont="1"/>
    <xf numFmtId="43" fontId="0" fillId="0" borderId="35" xfId="1" applyFont="1" applyFill="1" applyBorder="1" applyProtection="1"/>
    <xf numFmtId="43" fontId="0" fillId="2" borderId="37" xfId="1" applyFont="1" applyFill="1" applyBorder="1" applyProtection="1"/>
    <xf numFmtId="43" fontId="0" fillId="2" borderId="1" xfId="1" applyFont="1" applyFill="1" applyBorder="1" applyProtection="1"/>
    <xf numFmtId="43" fontId="45" fillId="0" borderId="0" xfId="1" applyFont="1" applyAlignment="1" applyProtection="1">
      <alignment shrinkToFit="1"/>
      <protection locked="0"/>
    </xf>
    <xf numFmtId="0" fontId="44" fillId="0" borderId="0" xfId="0" applyFont="1" applyAlignment="1">
      <alignment horizontal="center"/>
    </xf>
    <xf numFmtId="43" fontId="43" fillId="0" borderId="0" xfId="1" applyFont="1" applyAlignment="1">
      <alignment horizontal="center"/>
    </xf>
    <xf numFmtId="167" fontId="2" fillId="0" borderId="0" xfId="0" applyNumberFormat="1" applyFont="1" applyAlignment="1">
      <alignment horizontal="left"/>
    </xf>
    <xf numFmtId="167" fontId="21" fillId="0" borderId="0" xfId="0" applyNumberFormat="1" applyFont="1" applyAlignment="1">
      <alignment horizontal="centerContinuous"/>
    </xf>
    <xf numFmtId="167" fontId="0" fillId="0" borderId="0" xfId="0" applyNumberFormat="1" applyAlignment="1">
      <alignment horizontal="centerContinuous"/>
    </xf>
    <xf numFmtId="167" fontId="2" fillId="0" borderId="0" xfId="0" applyNumberFormat="1" applyFont="1" applyAlignment="1">
      <alignment horizontal="centerContinuous"/>
    </xf>
    <xf numFmtId="0" fontId="21" fillId="0" borderId="0" xfId="0" applyFont="1" applyAlignment="1">
      <alignment horizontal="centerContinuous" vertical="center"/>
    </xf>
    <xf numFmtId="167" fontId="2" fillId="0" borderId="0" xfId="0" applyNumberFormat="1" applyFont="1" applyAlignment="1" applyProtection="1">
      <alignment horizontal="centerContinuous"/>
      <protection locked="0"/>
    </xf>
    <xf numFmtId="10" fontId="0" fillId="0" borderId="0" xfId="14" applyNumberFormat="1" applyFont="1" applyAlignment="1">
      <alignment horizontal="centerContinuous"/>
    </xf>
    <xf numFmtId="10" fontId="2" fillId="0" borderId="0" xfId="14" applyNumberFormat="1" applyFont="1" applyAlignment="1">
      <alignment horizontal="centerContinuous"/>
    </xf>
    <xf numFmtId="167" fontId="0" fillId="0" borderId="0" xfId="14" applyNumberFormat="1" applyFont="1" applyAlignment="1">
      <alignment horizontal="centerContinuous"/>
    </xf>
    <xf numFmtId="167" fontId="0" fillId="0" borderId="0" xfId="14" applyNumberFormat="1" applyFont="1" applyAlignment="1" applyProtection="1">
      <alignment horizontal="centerContinuous"/>
    </xf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 shrinkToFit="1"/>
    </xf>
    <xf numFmtId="0" fontId="2" fillId="0" borderId="29" xfId="0" applyFont="1" applyBorder="1" applyAlignment="1">
      <alignment horizontal="center" vertical="center" wrapText="1"/>
    </xf>
    <xf numFmtId="169" fontId="0" fillId="0" borderId="33" xfId="1" applyNumberFormat="1" applyFont="1" applyFill="1" applyBorder="1" applyProtection="1"/>
    <xf numFmtId="0" fontId="0" fillId="3" borderId="1" xfId="0" applyFill="1" applyBorder="1" applyProtection="1">
      <protection locked="0"/>
    </xf>
    <xf numFmtId="43" fontId="0" fillId="0" borderId="0" xfId="1" applyFont="1" applyFill="1" applyBorder="1" applyProtection="1">
      <protection locked="0"/>
    </xf>
    <xf numFmtId="43" fontId="1" fillId="3" borderId="1" xfId="1" applyFont="1" applyFill="1" applyBorder="1" applyProtection="1">
      <protection locked="0"/>
    </xf>
    <xf numFmtId="169" fontId="1" fillId="3" borderId="1" xfId="1" applyNumberFormat="1" applyFill="1" applyBorder="1" applyProtection="1">
      <protection locked="0"/>
    </xf>
    <xf numFmtId="43" fontId="1" fillId="3" borderId="1" xfId="1" applyFill="1" applyBorder="1" applyProtection="1">
      <protection locked="0"/>
    </xf>
    <xf numFmtId="43" fontId="1" fillId="0" borderId="1" xfId="1" applyBorder="1" applyProtection="1"/>
    <xf numFmtId="0" fontId="2" fillId="0" borderId="5" xfId="0" applyFont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 shrinkToFit="1"/>
    </xf>
    <xf numFmtId="169" fontId="0" fillId="2" borderId="37" xfId="1" applyNumberFormat="1" applyFont="1" applyFill="1" applyBorder="1" applyAlignment="1">
      <alignment horizontal="center" shrinkToFit="1"/>
    </xf>
    <xf numFmtId="169" fontId="0" fillId="2" borderId="28" xfId="1" applyNumberFormat="1" applyFont="1" applyFill="1" applyBorder="1" applyAlignment="1">
      <alignment horizontal="center" shrinkToFit="1"/>
    </xf>
    <xf numFmtId="0" fontId="0" fillId="2" borderId="37" xfId="0" applyFill="1" applyBorder="1" applyAlignment="1">
      <alignment horizontal="center" shrinkToFit="1"/>
    </xf>
    <xf numFmtId="9" fontId="7" fillId="2" borderId="1" xfId="14" applyFont="1" applyFill="1" applyBorder="1" applyAlignment="1" applyProtection="1">
      <alignment shrinkToFit="1"/>
      <protection hidden="1"/>
    </xf>
    <xf numFmtId="0" fontId="1" fillId="0" borderId="0" xfId="0" applyFont="1"/>
    <xf numFmtId="167" fontId="13" fillId="0" borderId="0" xfId="0" applyNumberFormat="1" applyFont="1" applyAlignment="1">
      <alignment horizontal="left"/>
    </xf>
    <xf numFmtId="0" fontId="41" fillId="3" borderId="29" xfId="0" applyFont="1" applyFill="1" applyBorder="1" applyAlignment="1" applyProtection="1">
      <alignment horizontal="centerContinuous" shrinkToFit="1"/>
      <protection locked="0"/>
    </xf>
    <xf numFmtId="169" fontId="41" fillId="3" borderId="29" xfId="1" applyNumberFormat="1" applyFont="1" applyFill="1" applyBorder="1" applyAlignment="1" applyProtection="1">
      <alignment horizontal="center" shrinkToFit="1"/>
      <protection locked="0"/>
    </xf>
    <xf numFmtId="0" fontId="41" fillId="3" borderId="1" xfId="0" applyFont="1" applyFill="1" applyBorder="1" applyAlignment="1" applyProtection="1">
      <alignment horizontal="centerContinuous" shrinkToFit="1"/>
      <protection locked="0"/>
    </xf>
    <xf numFmtId="0" fontId="41" fillId="0" borderId="1" xfId="0" applyFont="1" applyBorder="1" applyAlignment="1">
      <alignment horizontal="center" shrinkToFit="1"/>
    </xf>
    <xf numFmtId="43" fontId="41" fillId="3" borderId="1" xfId="1" applyFont="1" applyFill="1" applyBorder="1" applyAlignment="1">
      <alignment horizontal="center" shrinkToFit="1"/>
    </xf>
    <xf numFmtId="0" fontId="43" fillId="2" borderId="27" xfId="0" applyFont="1" applyFill="1" applyBorder="1" applyAlignment="1">
      <alignment horizontal="centerContinuous" shrinkToFit="1"/>
    </xf>
    <xf numFmtId="0" fontId="43" fillId="2" borderId="26" xfId="0" applyFont="1" applyFill="1" applyBorder="1" applyAlignment="1">
      <alignment shrinkToFit="1"/>
    </xf>
    <xf numFmtId="0" fontId="43" fillId="2" borderId="26" xfId="0" applyFont="1" applyFill="1" applyBorder="1" applyAlignment="1">
      <alignment horizontal="center" shrinkToFit="1"/>
    </xf>
    <xf numFmtId="43" fontId="43" fillId="2" borderId="28" xfId="1" applyFont="1" applyFill="1" applyBorder="1" applyAlignment="1">
      <alignment horizontal="center" shrinkToFit="1"/>
    </xf>
    <xf numFmtId="9" fontId="41" fillId="3" borderId="1" xfId="14" applyFont="1" applyFill="1" applyBorder="1" applyAlignment="1" applyProtection="1">
      <alignment horizontal="center" shrinkToFit="1"/>
      <protection locked="0"/>
    </xf>
    <xf numFmtId="167" fontId="42" fillId="0" borderId="0" xfId="1" applyNumberFormat="1" applyFont="1" applyFill="1" applyBorder="1" applyAlignment="1">
      <alignment horizontal="centerContinuous"/>
    </xf>
    <xf numFmtId="38" fontId="2" fillId="0" borderId="0" xfId="0" applyNumberFormat="1" applyFont="1"/>
    <xf numFmtId="38" fontId="26" fillId="0" borderId="0" xfId="1" applyNumberFormat="1" applyFont="1" applyBorder="1"/>
    <xf numFmtId="38" fontId="2" fillId="0" borderId="0" xfId="0" applyNumberFormat="1" applyFont="1" applyAlignment="1">
      <alignment horizontal="centerContinuous"/>
    </xf>
    <xf numFmtId="38" fontId="26" fillId="0" borderId="0" xfId="10" applyNumberFormat="1" applyFont="1" applyBorder="1" applyAlignment="1" applyProtection="1"/>
    <xf numFmtId="38" fontId="27" fillId="0" borderId="0" xfId="1" applyNumberFormat="1" applyFont="1" applyBorder="1"/>
    <xf numFmtId="38" fontId="2" fillId="0" borderId="0" xfId="0" applyNumberFormat="1" applyFont="1" applyAlignment="1">
      <alignment horizontal="center"/>
    </xf>
    <xf numFmtId="0" fontId="50" fillId="0" borderId="0" xfId="0" applyFont="1"/>
    <xf numFmtId="14" fontId="0" fillId="3" borderId="30" xfId="1" applyNumberFormat="1" applyFont="1" applyFill="1" applyBorder="1" applyProtection="1">
      <protection locked="0"/>
    </xf>
    <xf numFmtId="14" fontId="0" fillId="3" borderId="31" xfId="1" applyNumberFormat="1" applyFont="1" applyFill="1" applyBorder="1" applyProtection="1">
      <protection locked="0"/>
    </xf>
    <xf numFmtId="14" fontId="0" fillId="3" borderId="33" xfId="1" applyNumberFormat="1" applyFont="1" applyFill="1" applyBorder="1" applyProtection="1">
      <protection locked="0"/>
    </xf>
    <xf numFmtId="169" fontId="0" fillId="3" borderId="33" xfId="1" applyNumberFormat="1" applyFont="1" applyFill="1" applyBorder="1" applyProtection="1">
      <protection locked="0"/>
    </xf>
    <xf numFmtId="43" fontId="0" fillId="3" borderId="33" xfId="1" applyFont="1" applyFill="1" applyBorder="1" applyProtection="1">
      <protection locked="0"/>
    </xf>
    <xf numFmtId="169" fontId="0" fillId="3" borderId="33" xfId="1" applyNumberFormat="1" applyFont="1" applyFill="1" applyBorder="1" applyProtection="1"/>
    <xf numFmtId="14" fontId="0" fillId="0" borderId="33" xfId="1" applyNumberFormat="1" applyFont="1" applyFill="1" applyBorder="1" applyAlignment="1" applyProtection="1">
      <alignment horizontal="center"/>
    </xf>
    <xf numFmtId="169" fontId="0" fillId="3" borderId="24" xfId="1" applyNumberFormat="1" applyFont="1" applyFill="1" applyBorder="1" applyProtection="1">
      <protection locked="0"/>
    </xf>
    <xf numFmtId="49" fontId="0" fillId="3" borderId="45" xfId="0" applyNumberFormat="1" applyFill="1" applyBorder="1" applyAlignment="1" applyProtection="1">
      <alignment horizontal="center"/>
      <protection locked="0"/>
    </xf>
    <xf numFmtId="49" fontId="0" fillId="3" borderId="46" xfId="0" applyNumberFormat="1" applyFill="1" applyBorder="1" applyAlignment="1" applyProtection="1">
      <alignment horizontal="center"/>
      <protection locked="0"/>
    </xf>
    <xf numFmtId="43" fontId="0" fillId="3" borderId="47" xfId="1" applyFont="1" applyFill="1" applyBorder="1" applyProtection="1">
      <protection locked="0"/>
    </xf>
    <xf numFmtId="43" fontId="0" fillId="3" borderId="48" xfId="1" applyFont="1" applyFill="1" applyBorder="1" applyProtection="1">
      <protection locked="0"/>
    </xf>
    <xf numFmtId="0" fontId="45" fillId="3" borderId="49" xfId="0" applyFont="1" applyFill="1" applyBorder="1" applyProtection="1">
      <protection locked="0"/>
    </xf>
    <xf numFmtId="0" fontId="45" fillId="3" borderId="50" xfId="0" applyFont="1" applyFill="1" applyBorder="1" applyProtection="1">
      <protection locked="0"/>
    </xf>
    <xf numFmtId="169" fontId="0" fillId="3" borderId="51" xfId="1" applyNumberFormat="1" applyFont="1" applyFill="1" applyBorder="1" applyProtection="1">
      <protection locked="0"/>
    </xf>
    <xf numFmtId="169" fontId="0" fillId="3" borderId="52" xfId="1" applyNumberFormat="1" applyFont="1" applyFill="1" applyBorder="1" applyProtection="1">
      <protection locked="0"/>
    </xf>
    <xf numFmtId="0" fontId="0" fillId="3" borderId="53" xfId="0" applyFill="1" applyBorder="1" applyProtection="1">
      <protection locked="0"/>
    </xf>
    <xf numFmtId="0" fontId="45" fillId="3" borderId="13" xfId="0" applyFont="1" applyFill="1" applyBorder="1" applyProtection="1">
      <protection locked="0"/>
    </xf>
    <xf numFmtId="169" fontId="0" fillId="3" borderId="54" xfId="1" applyNumberFormat="1" applyFon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55" xfId="0" applyFill="1" applyBorder="1" applyProtection="1">
      <protection locked="0"/>
    </xf>
    <xf numFmtId="169" fontId="0" fillId="3" borderId="49" xfId="1" applyNumberFormat="1" applyFont="1" applyFill="1" applyBorder="1" applyProtection="1">
      <protection locked="0"/>
    </xf>
    <xf numFmtId="169" fontId="0" fillId="3" borderId="40" xfId="1" applyNumberFormat="1" applyFont="1" applyFill="1" applyBorder="1" applyProtection="1">
      <protection locked="0"/>
    </xf>
    <xf numFmtId="0" fontId="0" fillId="3" borderId="56" xfId="0" applyFill="1" applyBorder="1" applyProtection="1">
      <protection locked="0"/>
    </xf>
    <xf numFmtId="169" fontId="0" fillId="3" borderId="50" xfId="1" applyNumberFormat="1" applyFont="1" applyFill="1" applyBorder="1" applyProtection="1">
      <protection locked="0"/>
    </xf>
    <xf numFmtId="169" fontId="0" fillId="3" borderId="41" xfId="1" applyNumberFormat="1" applyFont="1" applyFill="1" applyBorder="1" applyProtection="1">
      <protection locked="0"/>
    </xf>
    <xf numFmtId="169" fontId="0" fillId="3" borderId="57" xfId="1" applyNumberFormat="1" applyFont="1" applyFill="1" applyBorder="1" applyProtection="1">
      <protection locked="0"/>
    </xf>
    <xf numFmtId="169" fontId="0" fillId="3" borderId="58" xfId="1" applyNumberFormat="1" applyFont="1" applyFill="1" applyBorder="1" applyProtection="1">
      <protection locked="0"/>
    </xf>
    <xf numFmtId="169" fontId="0" fillId="3" borderId="13" xfId="1" applyNumberFormat="1" applyFont="1" applyFill="1" applyBorder="1" applyProtection="1">
      <protection locked="0"/>
    </xf>
    <xf numFmtId="169" fontId="0" fillId="3" borderId="15" xfId="1" applyNumberFormat="1" applyFont="1" applyFill="1" applyBorder="1" applyProtection="1">
      <protection locked="0"/>
    </xf>
    <xf numFmtId="0" fontId="25" fillId="0" borderId="0" xfId="10" applyFill="1" applyBorder="1" applyAlignment="1" applyProtection="1"/>
    <xf numFmtId="0" fontId="15" fillId="0" borderId="0" xfId="0" applyFont="1" applyAlignment="1" applyProtection="1">
      <alignment horizontal="centerContinuous"/>
      <protection hidden="1"/>
    </xf>
    <xf numFmtId="170" fontId="53" fillId="0" borderId="0" xfId="0" applyNumberFormat="1" applyFont="1" applyAlignment="1" applyProtection="1">
      <alignment horizontal="left"/>
      <protection hidden="1"/>
    </xf>
    <xf numFmtId="176" fontId="7" fillId="0" borderId="1" xfId="1" applyNumberFormat="1" applyFont="1" applyBorder="1" applyAlignment="1" applyProtection="1">
      <alignment shrinkToFit="1"/>
      <protection hidden="1"/>
    </xf>
    <xf numFmtId="176" fontId="14" fillId="0" borderId="1" xfId="1" applyNumberFormat="1" applyFont="1" applyBorder="1" applyAlignment="1" applyProtection="1">
      <alignment shrinkToFit="1"/>
      <protection hidden="1"/>
    </xf>
    <xf numFmtId="176" fontId="7" fillId="0" borderId="1" xfId="1" applyNumberFormat="1" applyFont="1" applyFill="1" applyBorder="1" applyAlignment="1" applyProtection="1">
      <alignment shrinkToFit="1"/>
      <protection hidden="1"/>
    </xf>
    <xf numFmtId="176" fontId="14" fillId="0" borderId="0" xfId="0" applyNumberFormat="1" applyFont="1"/>
    <xf numFmtId="176" fontId="7" fillId="2" borderId="1" xfId="1" applyNumberFormat="1" applyFont="1" applyFill="1" applyBorder="1" applyAlignment="1" applyProtection="1">
      <alignment shrinkToFit="1"/>
      <protection hidden="1"/>
    </xf>
    <xf numFmtId="0" fontId="54" fillId="3" borderId="33" xfId="0" applyFont="1" applyFill="1" applyBorder="1"/>
    <xf numFmtId="4" fontId="25" fillId="0" borderId="0" xfId="10" applyNumberFormat="1" applyFill="1" applyAlignment="1" applyProtection="1"/>
    <xf numFmtId="0" fontId="55" fillId="0" borderId="0" xfId="0" applyFont="1"/>
    <xf numFmtId="0" fontId="45" fillId="0" borderId="0" xfId="0" applyFont="1" applyAlignment="1">
      <alignment wrapText="1"/>
    </xf>
    <xf numFmtId="0" fontId="39" fillId="0" borderId="0" xfId="0" applyFont="1" applyAlignment="1">
      <alignment horizontal="center"/>
    </xf>
    <xf numFmtId="0" fontId="20" fillId="0" borderId="0" xfId="0" applyFont="1"/>
    <xf numFmtId="0" fontId="17" fillId="0" borderId="0" xfId="0" applyFont="1" applyAlignment="1">
      <alignment horizontal="centerContinuous"/>
    </xf>
    <xf numFmtId="177" fontId="2" fillId="0" borderId="29" xfId="0" applyNumberFormat="1" applyFont="1" applyBorder="1" applyAlignment="1">
      <alignment horizontal="center" vertical="center" wrapText="1"/>
    </xf>
    <xf numFmtId="167" fontId="0" fillId="0" borderId="0" xfId="1" applyNumberFormat="1" applyFont="1" applyAlignment="1">
      <alignment horizontal="centerContinuous"/>
    </xf>
    <xf numFmtId="169" fontId="2" fillId="2" borderId="26" xfId="1" applyNumberFormat="1" applyFont="1" applyFill="1" applyBorder="1" applyAlignment="1">
      <alignment horizontal="center"/>
    </xf>
    <xf numFmtId="169" fontId="0" fillId="0" borderId="17" xfId="1" applyNumberFormat="1" applyFont="1" applyBorder="1" applyAlignment="1">
      <alignment shrinkToFit="1"/>
    </xf>
    <xf numFmtId="43" fontId="45" fillId="0" borderId="0" xfId="1" applyFont="1" applyAlignment="1" applyProtection="1">
      <alignment shrinkToFit="1"/>
    </xf>
    <xf numFmtId="169" fontId="0" fillId="0" borderId="1" xfId="1" applyNumberFormat="1" applyFont="1" applyFill="1" applyBorder="1" applyProtection="1"/>
    <xf numFmtId="0" fontId="0" fillId="0" borderId="0" xfId="0" applyAlignment="1" applyProtection="1">
      <alignment horizontal="center"/>
      <protection locked="0"/>
    </xf>
    <xf numFmtId="10" fontId="0" fillId="0" borderId="0" xfId="14" applyNumberFormat="1" applyFont="1" applyProtection="1">
      <protection locked="0"/>
    </xf>
    <xf numFmtId="169" fontId="0" fillId="0" borderId="30" xfId="1" applyNumberFormat="1" applyFont="1" applyBorder="1" applyProtection="1">
      <protection locked="0"/>
    </xf>
    <xf numFmtId="169" fontId="0" fillId="0" borderId="31" xfId="1" applyNumberFormat="1" applyFont="1" applyBorder="1" applyProtection="1">
      <protection locked="0"/>
    </xf>
    <xf numFmtId="10" fontId="0" fillId="3" borderId="30" xfId="1" applyNumberFormat="1" applyFont="1" applyFill="1" applyBorder="1" applyProtection="1">
      <protection locked="0"/>
    </xf>
    <xf numFmtId="10" fontId="0" fillId="3" borderId="31" xfId="1" applyNumberFormat="1" applyFont="1" applyFill="1" applyBorder="1" applyProtection="1">
      <protection locked="0"/>
    </xf>
    <xf numFmtId="10" fontId="0" fillId="3" borderId="32" xfId="1" applyNumberFormat="1" applyFont="1" applyFill="1" applyBorder="1" applyProtection="1">
      <protection locked="0"/>
    </xf>
    <xf numFmtId="49" fontId="0" fillId="0" borderId="14" xfId="0" applyNumberFormat="1" applyBorder="1" applyAlignment="1">
      <alignment horizontal="center"/>
    </xf>
    <xf numFmtId="169" fontId="0" fillId="0" borderId="59" xfId="1" applyNumberFormat="1" applyFont="1" applyFill="1" applyBorder="1" applyProtection="1"/>
    <xf numFmtId="169" fontId="0" fillId="3" borderId="60" xfId="1" applyNumberFormat="1" applyFont="1" applyFill="1" applyBorder="1" applyProtection="1">
      <protection locked="0"/>
    </xf>
    <xf numFmtId="169" fontId="0" fillId="3" borderId="21" xfId="1" applyNumberFormat="1" applyFont="1" applyFill="1" applyBorder="1" applyProtection="1">
      <protection locked="0"/>
    </xf>
    <xf numFmtId="0" fontId="0" fillId="0" borderId="27" xfId="0" applyBorder="1" applyAlignment="1">
      <alignment horizontal="center"/>
    </xf>
    <xf numFmtId="0" fontId="0" fillId="3" borderId="0" xfId="0" applyFill="1" applyAlignment="1" applyProtection="1">
      <alignment horizontal="centerContinuous" wrapText="1"/>
      <protection locked="0"/>
    </xf>
    <xf numFmtId="0" fontId="2" fillId="0" borderId="14" xfId="0" applyFont="1" applyBorder="1" applyAlignment="1">
      <alignment horizontal="centerContinuous"/>
    </xf>
    <xf numFmtId="169" fontId="0" fillId="3" borderId="0" xfId="1" applyNumberFormat="1" applyFont="1" applyFill="1" applyBorder="1" applyProtection="1">
      <protection locked="0"/>
    </xf>
    <xf numFmtId="0" fontId="2" fillId="0" borderId="15" xfId="0" applyFont="1" applyBorder="1" applyAlignment="1">
      <alignment horizontal="center"/>
    </xf>
    <xf numFmtId="0" fontId="0" fillId="0" borderId="14" xfId="0" applyBorder="1" applyAlignment="1">
      <alignment horizontal="centerContinuous"/>
    </xf>
    <xf numFmtId="0" fontId="25" fillId="9" borderId="17" xfId="10" applyFill="1" applyBorder="1" applyAlignment="1" applyProtection="1">
      <alignment horizontal="center" vertical="center" wrapText="1"/>
    </xf>
    <xf numFmtId="169" fontId="0" fillId="0" borderId="38" xfId="1" applyNumberFormat="1" applyFont="1" applyFill="1" applyBorder="1" applyAlignment="1" applyProtection="1">
      <alignment horizontal="left" wrapText="1"/>
    </xf>
    <xf numFmtId="9" fontId="0" fillId="3" borderId="1" xfId="14" applyFont="1" applyFill="1" applyBorder="1" applyProtection="1">
      <protection locked="0"/>
    </xf>
    <xf numFmtId="0" fontId="21" fillId="9" borderId="18" xfId="10" applyFont="1" applyFill="1" applyBorder="1" applyAlignment="1" applyProtection="1">
      <alignment horizontal="center" vertical="center" wrapText="1"/>
    </xf>
    <xf numFmtId="0" fontId="21" fillId="9" borderId="20" xfId="10" applyFont="1" applyFill="1" applyBorder="1" applyAlignment="1" applyProtection="1">
      <alignment horizontal="center" vertical="center" wrapText="1"/>
    </xf>
    <xf numFmtId="0" fontId="21" fillId="9" borderId="16" xfId="10" applyFont="1" applyFill="1" applyBorder="1" applyAlignment="1" applyProtection="1">
      <alignment horizontal="center" vertical="center" wrapText="1"/>
    </xf>
    <xf numFmtId="169" fontId="51" fillId="0" borderId="0" xfId="1" applyNumberFormat="1" applyFont="1" applyAlignment="1">
      <alignment horizontal="centerContinuous"/>
    </xf>
    <xf numFmtId="169" fontId="52" fillId="0" borderId="0" xfId="1" applyNumberFormat="1" applyFont="1"/>
    <xf numFmtId="169" fontId="2" fillId="2" borderId="0" xfId="1" applyNumberFormat="1" applyFont="1" applyFill="1" applyBorder="1"/>
    <xf numFmtId="169" fontId="26" fillId="0" borderId="0" xfId="1" applyNumberFormat="1" applyFont="1" applyBorder="1"/>
    <xf numFmtId="169" fontId="27" fillId="0" borderId="0" xfId="1" applyNumberFormat="1" applyFont="1" applyBorder="1"/>
    <xf numFmtId="169" fontId="2" fillId="2" borderId="26" xfId="1" applyNumberFormat="1" applyFont="1" applyFill="1" applyBorder="1"/>
    <xf numFmtId="169" fontId="2" fillId="0" borderId="0" xfId="1" applyNumberFormat="1" applyFont="1" applyBorder="1"/>
    <xf numFmtId="169" fontId="50" fillId="0" borderId="0" xfId="1" applyNumberFormat="1" applyFont="1"/>
    <xf numFmtId="169" fontId="26" fillId="0" borderId="0" xfId="1" applyNumberFormat="1" applyFont="1"/>
    <xf numFmtId="169" fontId="0" fillId="0" borderId="37" xfId="1" applyNumberFormat="1" applyFont="1" applyBorder="1"/>
    <xf numFmtId="0" fontId="45" fillId="0" borderId="13" xfId="0" applyFont="1" applyBorder="1" applyAlignment="1">
      <alignment horizontal="centerContinuous"/>
    </xf>
    <xf numFmtId="0" fontId="0" fillId="3" borderId="40" xfId="0" applyFill="1" applyBorder="1" applyProtection="1">
      <protection locked="0"/>
    </xf>
    <xf numFmtId="0" fontId="0" fillId="3" borderId="41" xfId="0" applyFill="1" applyBorder="1" applyProtection="1">
      <protection locked="0"/>
    </xf>
    <xf numFmtId="169" fontId="39" fillId="3" borderId="24" xfId="1" applyNumberFormat="1" applyFont="1" applyFill="1" applyBorder="1" applyProtection="1">
      <protection locked="0"/>
    </xf>
    <xf numFmtId="0" fontId="39" fillId="0" borderId="13" xfId="0" applyFont="1" applyBorder="1" applyAlignment="1">
      <alignment horizontal="centerContinuous"/>
    </xf>
    <xf numFmtId="0" fontId="0" fillId="3" borderId="58" xfId="0" applyFill="1" applyBorder="1" applyProtection="1">
      <protection locked="0"/>
    </xf>
    <xf numFmtId="169" fontId="0" fillId="0" borderId="37" xfId="1" applyNumberFormat="1" applyFont="1" applyFill="1" applyBorder="1" applyProtection="1"/>
    <xf numFmtId="0" fontId="0" fillId="3" borderId="39" xfId="0" applyFill="1" applyBorder="1" applyProtection="1">
      <protection locked="0"/>
    </xf>
    <xf numFmtId="169" fontId="0" fillId="3" borderId="39" xfId="1" applyNumberFormat="1" applyFont="1" applyFill="1" applyBorder="1" applyProtection="1">
      <protection locked="0"/>
    </xf>
    <xf numFmtId="169" fontId="0" fillId="0" borderId="39" xfId="1" applyNumberFormat="1" applyFont="1" applyFill="1" applyBorder="1"/>
    <xf numFmtId="43" fontId="0" fillId="3" borderId="39" xfId="1" applyFont="1" applyFill="1" applyBorder="1" applyProtection="1">
      <protection locked="0"/>
    </xf>
    <xf numFmtId="169" fontId="0" fillId="0" borderId="31" xfId="1" applyNumberFormat="1" applyFont="1" applyFill="1" applyBorder="1"/>
    <xf numFmtId="169" fontId="0" fillId="0" borderId="33" xfId="1" applyNumberFormat="1" applyFont="1" applyFill="1" applyBorder="1"/>
    <xf numFmtId="0" fontId="0" fillId="3" borderId="4" xfId="0" applyFill="1" applyBorder="1" applyProtection="1">
      <protection locked="0"/>
    </xf>
    <xf numFmtId="43" fontId="0" fillId="0" borderId="1" xfId="1" applyFont="1" applyBorder="1"/>
    <xf numFmtId="0" fontId="39" fillId="2" borderId="0" xfId="0" applyFont="1" applyFill="1" applyAlignment="1">
      <alignment horizontal="center" vertical="center"/>
    </xf>
    <xf numFmtId="14" fontId="0" fillId="0" borderId="0" xfId="0" applyNumberFormat="1"/>
    <xf numFmtId="14" fontId="2" fillId="0" borderId="29" xfId="0" applyNumberFormat="1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shrinkToFit="1"/>
    </xf>
    <xf numFmtId="0" fontId="0" fillId="3" borderId="49" xfId="0" applyFill="1" applyBorder="1" applyProtection="1">
      <protection locked="0"/>
    </xf>
    <xf numFmtId="0" fontId="0" fillId="3" borderId="50" xfId="0" applyFill="1" applyBorder="1" applyProtection="1">
      <protection locked="0"/>
    </xf>
    <xf numFmtId="0" fontId="0" fillId="3" borderId="57" xfId="0" applyFill="1" applyBorder="1" applyProtection="1">
      <protection locked="0"/>
    </xf>
    <xf numFmtId="0" fontId="2" fillId="6" borderId="61" xfId="0" applyFont="1" applyFill="1" applyBorder="1" applyAlignment="1">
      <alignment horizontal="center" wrapText="1"/>
    </xf>
    <xf numFmtId="49" fontId="0" fillId="3" borderId="62" xfId="0" applyNumberFormat="1" applyFill="1" applyBorder="1" applyAlignment="1" applyProtection="1">
      <alignment horizontal="center"/>
      <protection locked="0"/>
    </xf>
    <xf numFmtId="49" fontId="0" fillId="3" borderId="63" xfId="0" applyNumberFormat="1" applyFill="1" applyBorder="1" applyAlignment="1" applyProtection="1">
      <alignment horizontal="center"/>
      <protection locked="0"/>
    </xf>
    <xf numFmtId="169" fontId="0" fillId="3" borderId="64" xfId="1" applyNumberFormat="1" applyFont="1" applyFill="1" applyBorder="1" applyProtection="1">
      <protection locked="0"/>
    </xf>
    <xf numFmtId="0" fontId="0" fillId="3" borderId="62" xfId="0" applyFill="1" applyBorder="1" applyAlignment="1" applyProtection="1">
      <alignment horizontal="center"/>
      <protection locked="0"/>
    </xf>
    <xf numFmtId="0" fontId="0" fillId="3" borderId="63" xfId="0" applyFill="1" applyBorder="1" applyAlignment="1" applyProtection="1">
      <alignment horizontal="center"/>
      <protection locked="0"/>
    </xf>
    <xf numFmtId="0" fontId="26" fillId="0" borderId="0" xfId="0" applyFont="1"/>
    <xf numFmtId="43" fontId="26" fillId="0" borderId="0" xfId="1" applyFont="1"/>
    <xf numFmtId="43" fontId="0" fillId="0" borderId="34" xfId="1" applyFont="1" applyFill="1" applyBorder="1" applyAlignment="1" applyProtection="1">
      <alignment shrinkToFit="1"/>
    </xf>
    <xf numFmtId="43" fontId="0" fillId="0" borderId="38" xfId="1" applyFont="1" applyFill="1" applyBorder="1" applyAlignment="1" applyProtection="1">
      <alignment shrinkToFit="1"/>
    </xf>
    <xf numFmtId="43" fontId="0" fillId="0" borderId="43" xfId="1" applyFont="1" applyFill="1" applyBorder="1" applyAlignment="1" applyProtection="1">
      <alignment shrinkToFit="1"/>
    </xf>
    <xf numFmtId="14" fontId="0" fillId="3" borderId="30" xfId="0" applyNumberFormat="1" applyFill="1" applyBorder="1" applyProtection="1">
      <protection locked="0"/>
    </xf>
    <xf numFmtId="14" fontId="0" fillId="3" borderId="31" xfId="0" applyNumberFormat="1" applyFill="1" applyBorder="1" applyProtection="1">
      <protection locked="0"/>
    </xf>
    <xf numFmtId="14" fontId="2" fillId="0" borderId="0" xfId="0" applyNumberFormat="1" applyFont="1" applyAlignment="1">
      <alignment horizontal="center"/>
    </xf>
    <xf numFmtId="166" fontId="0" fillId="3" borderId="30" xfId="14" applyNumberFormat="1" applyFont="1" applyFill="1" applyBorder="1" applyProtection="1">
      <protection locked="0"/>
    </xf>
    <xf numFmtId="166" fontId="0" fillId="3" borderId="31" xfId="14" applyNumberFormat="1" applyFont="1" applyFill="1" applyBorder="1" applyProtection="1">
      <protection locked="0"/>
    </xf>
    <xf numFmtId="166" fontId="0" fillId="3" borderId="30" xfId="0" applyNumberFormat="1" applyFill="1" applyBorder="1" applyProtection="1">
      <protection locked="0"/>
    </xf>
    <xf numFmtId="166" fontId="0" fillId="3" borderId="31" xfId="0" applyNumberFormat="1" applyFill="1" applyBorder="1" applyProtection="1">
      <protection locked="0"/>
    </xf>
    <xf numFmtId="0" fontId="0" fillId="0" borderId="49" xfId="0" applyBorder="1"/>
    <xf numFmtId="0" fontId="0" fillId="0" borderId="40" xfId="0" applyBorder="1"/>
    <xf numFmtId="0" fontId="0" fillId="0" borderId="50" xfId="0" applyBorder="1"/>
    <xf numFmtId="0" fontId="0" fillId="0" borderId="41" xfId="0" applyBorder="1"/>
    <xf numFmtId="0" fontId="0" fillId="0" borderId="63" xfId="0" applyBorder="1"/>
    <xf numFmtId="0" fontId="0" fillId="0" borderId="42" xfId="0" applyBorder="1"/>
    <xf numFmtId="169" fontId="0" fillId="0" borderId="1" xfId="0" applyNumberFormat="1" applyBorder="1" applyAlignment="1">
      <alignment shrinkToFit="1"/>
    </xf>
    <xf numFmtId="14" fontId="41" fillId="3" borderId="1" xfId="1" applyNumberFormat="1" applyFont="1" applyFill="1" applyBorder="1" applyAlignment="1" applyProtection="1">
      <alignment horizontal="center" shrinkToFit="1"/>
      <protection locked="0"/>
    </xf>
    <xf numFmtId="169" fontId="57" fillId="3" borderId="1" xfId="1" applyNumberFormat="1" applyFont="1" applyFill="1" applyBorder="1" applyAlignment="1" applyProtection="1">
      <alignment shrinkToFit="1"/>
      <protection locked="0"/>
    </xf>
    <xf numFmtId="14" fontId="41" fillId="3" borderId="29" xfId="0" applyNumberFormat="1" applyFont="1" applyFill="1" applyBorder="1" applyAlignment="1" applyProtection="1">
      <alignment shrinkToFit="1"/>
      <protection locked="0"/>
    </xf>
    <xf numFmtId="14" fontId="41" fillId="3" borderId="1" xfId="0" applyNumberFormat="1" applyFont="1" applyFill="1" applyBorder="1" applyAlignment="1" applyProtection="1">
      <alignment shrinkToFit="1"/>
      <protection locked="0"/>
    </xf>
    <xf numFmtId="0" fontId="41" fillId="3" borderId="1" xfId="1" applyNumberFormat="1" applyFont="1" applyFill="1" applyBorder="1" applyAlignment="1" applyProtection="1">
      <alignment horizontal="center" shrinkToFit="1"/>
      <protection locked="0"/>
    </xf>
    <xf numFmtId="0" fontId="56" fillId="0" borderId="0" xfId="0" applyFont="1" applyAlignment="1">
      <alignment horizontal="center"/>
    </xf>
    <xf numFmtId="0" fontId="41" fillId="0" borderId="0" xfId="0" quotePrefix="1" applyFont="1"/>
    <xf numFmtId="169" fontId="41" fillId="0" borderId="29" xfId="1" applyNumberFormat="1" applyFont="1" applyBorder="1" applyAlignment="1" applyProtection="1">
      <alignment horizontal="center" shrinkToFit="1"/>
      <protection hidden="1"/>
    </xf>
    <xf numFmtId="0" fontId="2" fillId="0" borderId="14" xfId="0" applyFont="1" applyBorder="1" applyAlignment="1">
      <alignment horizontal="center" shrinkToFit="1"/>
    </xf>
    <xf numFmtId="0" fontId="0" fillId="0" borderId="55" xfId="0" applyBorder="1"/>
    <xf numFmtId="169" fontId="0" fillId="0" borderId="55" xfId="1" applyNumberFormat="1" applyFont="1" applyFill="1" applyBorder="1" applyProtection="1"/>
    <xf numFmtId="169" fontId="0" fillId="0" borderId="41" xfId="1" applyNumberFormat="1" applyFont="1" applyFill="1" applyBorder="1" applyProtection="1"/>
    <xf numFmtId="0" fontId="0" fillId="0" borderId="56" xfId="0" applyBorder="1" applyAlignment="1">
      <alignment horizontal="centerContinuous" wrapText="1" readingOrder="2"/>
    </xf>
    <xf numFmtId="169" fontId="0" fillId="0" borderId="56" xfId="1" applyNumberFormat="1" applyFont="1" applyFill="1" applyBorder="1" applyProtection="1"/>
    <xf numFmtId="0" fontId="0" fillId="0" borderId="56" xfId="0" applyBorder="1"/>
    <xf numFmtId="0" fontId="0" fillId="0" borderId="65" xfId="0" applyBorder="1"/>
    <xf numFmtId="169" fontId="0" fillId="0" borderId="65" xfId="1" applyNumberFormat="1" applyFont="1" applyFill="1" applyBorder="1" applyProtection="1"/>
    <xf numFmtId="169" fontId="0" fillId="0" borderId="58" xfId="1" applyNumberFormat="1" applyFont="1" applyFill="1" applyBorder="1" applyProtection="1"/>
    <xf numFmtId="169" fontId="0" fillId="0" borderId="26" xfId="1" applyNumberFormat="1" applyFont="1" applyBorder="1" applyProtection="1"/>
    <xf numFmtId="169" fontId="0" fillId="0" borderId="28" xfId="1" applyNumberFormat="1" applyFont="1" applyBorder="1" applyProtection="1"/>
    <xf numFmtId="169" fontId="0" fillId="0" borderId="66" xfId="1" applyNumberFormat="1" applyFont="1" applyBorder="1" applyProtection="1"/>
    <xf numFmtId="0" fontId="0" fillId="6" borderId="0" xfId="0" applyFill="1"/>
    <xf numFmtId="0" fontId="10" fillId="6" borderId="0" xfId="0" applyFont="1" applyFill="1"/>
    <xf numFmtId="0" fontId="58" fillId="6" borderId="0" xfId="10" applyFont="1" applyFill="1" applyAlignment="1" applyProtection="1"/>
    <xf numFmtId="0" fontId="58" fillId="6" borderId="0" xfId="10" applyFont="1" applyFill="1" applyBorder="1" applyAlignment="1" applyProtection="1"/>
    <xf numFmtId="0" fontId="2" fillId="6" borderId="11" xfId="0" applyFont="1" applyFill="1" applyBorder="1" applyAlignment="1">
      <alignment horizontal="centerContinuous" wrapText="1" shrinkToFit="1"/>
    </xf>
    <xf numFmtId="49" fontId="0" fillId="3" borderId="67" xfId="0" applyNumberFormat="1" applyFill="1" applyBorder="1" applyAlignment="1" applyProtection="1">
      <alignment horizontal="center"/>
      <protection locked="0"/>
    </xf>
    <xf numFmtId="49" fontId="0" fillId="3" borderId="68" xfId="0" applyNumberFormat="1" applyFill="1" applyBorder="1" applyAlignment="1" applyProtection="1">
      <alignment horizontal="center"/>
      <protection locked="0"/>
    </xf>
    <xf numFmtId="0" fontId="10" fillId="6" borderId="61" xfId="0" applyFont="1" applyFill="1" applyBorder="1" applyAlignment="1">
      <alignment horizontal="center" wrapText="1" shrinkToFit="1"/>
    </xf>
    <xf numFmtId="0" fontId="10" fillId="6" borderId="69" xfId="0" applyFont="1" applyFill="1" applyBorder="1" applyAlignment="1">
      <alignment horizontal="center" wrapText="1" shrinkToFit="1"/>
    </xf>
    <xf numFmtId="0" fontId="36" fillId="0" borderId="1" xfId="0" applyFont="1" applyBorder="1" applyAlignment="1">
      <alignment horizontal="center" wrapText="1"/>
    </xf>
    <xf numFmtId="0" fontId="36" fillId="2" borderId="1" xfId="0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 applyProtection="1">
      <alignment horizontal="centerContinuous"/>
      <protection locked="0"/>
    </xf>
    <xf numFmtId="43" fontId="13" fillId="3" borderId="0" xfId="1" applyFont="1" applyFill="1" applyAlignment="1">
      <alignment horizontal="centerContinuous"/>
    </xf>
    <xf numFmtId="170" fontId="11" fillId="3" borderId="0" xfId="0" applyNumberFormat="1" applyFont="1" applyFill="1" applyAlignment="1">
      <alignment horizontal="centerContinuous"/>
    </xf>
    <xf numFmtId="167" fontId="2" fillId="3" borderId="0" xfId="0" applyNumberFormat="1" applyFont="1" applyFill="1" applyAlignment="1" applyProtection="1">
      <alignment horizontal="centerContinuous"/>
      <protection locked="0"/>
    </xf>
    <xf numFmtId="167" fontId="11" fillId="3" borderId="0" xfId="0" applyNumberFormat="1" applyFont="1" applyFill="1" applyAlignment="1" applyProtection="1">
      <alignment horizontal="centerContinuous"/>
      <protection locked="0"/>
    </xf>
    <xf numFmtId="0" fontId="19" fillId="0" borderId="0" xfId="0" applyFont="1" applyAlignment="1">
      <alignment horizontal="centerContinuous"/>
    </xf>
    <xf numFmtId="0" fontId="51" fillId="0" borderId="0" xfId="0" applyFont="1" applyAlignment="1">
      <alignment horizontal="centerContinuous"/>
    </xf>
    <xf numFmtId="0" fontId="59" fillId="0" borderId="0" xfId="0" applyFont="1" applyAlignment="1">
      <alignment horizontal="centerContinuous"/>
    </xf>
    <xf numFmtId="43" fontId="17" fillId="0" borderId="0" xfId="1" applyFont="1" applyAlignment="1">
      <alignment horizontal="centerContinuous"/>
    </xf>
    <xf numFmtId="43" fontId="17" fillId="0" borderId="0" xfId="1" applyFont="1"/>
    <xf numFmtId="43" fontId="17" fillId="0" borderId="4" xfId="1" applyFont="1" applyBorder="1" applyAlignment="1"/>
    <xf numFmtId="43" fontId="17" fillId="0" borderId="15" xfId="1" applyFont="1" applyBorder="1"/>
    <xf numFmtId="43" fontId="17" fillId="0" borderId="1" xfId="1" applyFont="1" applyBorder="1" applyAlignment="1">
      <alignment shrinkToFit="1"/>
    </xf>
    <xf numFmtId="43" fontId="17" fillId="0" borderId="21" xfId="1" applyFont="1" applyBorder="1" applyAlignment="1">
      <alignment shrinkToFit="1"/>
    </xf>
    <xf numFmtId="43" fontId="17" fillId="0" borderId="15" xfId="1" applyFont="1" applyBorder="1" applyAlignment="1">
      <alignment shrinkToFit="1"/>
    </xf>
    <xf numFmtId="43" fontId="17" fillId="0" borderId="23" xfId="1" applyFont="1" applyBorder="1" applyAlignment="1">
      <alignment shrinkToFit="1"/>
    </xf>
    <xf numFmtId="43" fontId="17" fillId="0" borderId="29" xfId="1" applyFont="1" applyBorder="1" applyAlignment="1">
      <alignment shrinkToFit="1"/>
    </xf>
    <xf numFmtId="43" fontId="17" fillId="0" borderId="35" xfId="1" applyFont="1" applyBorder="1" applyAlignment="1">
      <alignment shrinkToFit="1"/>
    </xf>
    <xf numFmtId="43" fontId="17" fillId="0" borderId="20" xfId="1" applyFont="1" applyBorder="1" applyAlignment="1">
      <alignment shrinkToFit="1"/>
    </xf>
    <xf numFmtId="43" fontId="17" fillId="0" borderId="17" xfId="1" applyFont="1" applyBorder="1" applyAlignment="1">
      <alignment shrinkToFit="1"/>
    </xf>
    <xf numFmtId="43" fontId="18" fillId="0" borderId="20" xfId="1" applyFont="1" applyBorder="1" applyAlignment="1">
      <alignment shrinkToFit="1"/>
    </xf>
    <xf numFmtId="43" fontId="18" fillId="0" borderId="17" xfId="1" applyFont="1" applyBorder="1" applyAlignment="1">
      <alignment shrinkToFit="1"/>
    </xf>
    <xf numFmtId="43" fontId="18" fillId="0" borderId="21" xfId="1" applyFont="1" applyBorder="1" applyAlignment="1">
      <alignment shrinkToFit="1"/>
    </xf>
    <xf numFmtId="43" fontId="17" fillId="0" borderId="19" xfId="1" applyFont="1" applyBorder="1" applyAlignment="1">
      <alignment shrinkToFit="1"/>
    </xf>
    <xf numFmtId="43" fontId="17" fillId="0" borderId="0" xfId="1" applyFont="1" applyBorder="1" applyAlignment="1">
      <alignment shrinkToFit="1"/>
    </xf>
    <xf numFmtId="43" fontId="17" fillId="0" borderId="4" xfId="1" applyFont="1" applyBorder="1" applyAlignment="1">
      <alignment shrinkToFit="1"/>
    </xf>
    <xf numFmtId="9" fontId="17" fillId="0" borderId="4" xfId="0" applyNumberFormat="1" applyFont="1" applyBorder="1"/>
    <xf numFmtId="0" fontId="17" fillId="3" borderId="0" xfId="0" applyFont="1" applyFill="1" applyProtection="1">
      <protection locked="0"/>
    </xf>
    <xf numFmtId="0" fontId="17" fillId="3" borderId="21" xfId="0" applyFont="1" applyFill="1" applyBorder="1" applyProtection="1">
      <protection locked="0"/>
    </xf>
    <xf numFmtId="0" fontId="17" fillId="3" borderId="4" xfId="0" applyFont="1" applyFill="1" applyBorder="1" applyProtection="1">
      <protection locked="0"/>
    </xf>
    <xf numFmtId="0" fontId="17" fillId="3" borderId="17" xfId="0" applyFont="1" applyFill="1" applyBorder="1" applyProtection="1">
      <protection locked="0"/>
    </xf>
    <xf numFmtId="43" fontId="17" fillId="3" borderId="21" xfId="1" applyFont="1" applyFill="1" applyBorder="1" applyAlignment="1" applyProtection="1">
      <alignment shrinkToFit="1"/>
      <protection locked="0"/>
    </xf>
    <xf numFmtId="43" fontId="17" fillId="3" borderId="1" xfId="1" applyFont="1" applyFill="1" applyBorder="1" applyAlignment="1" applyProtection="1">
      <alignment shrinkToFit="1"/>
      <protection locked="0"/>
    </xf>
    <xf numFmtId="43" fontId="17" fillId="3" borderId="23" xfId="1" applyFont="1" applyFill="1" applyBorder="1" applyAlignment="1" applyProtection="1">
      <alignment shrinkToFit="1"/>
      <protection locked="0"/>
    </xf>
    <xf numFmtId="43" fontId="17" fillId="3" borderId="35" xfId="1" applyFont="1" applyFill="1" applyBorder="1" applyAlignment="1" applyProtection="1">
      <alignment shrinkToFit="1"/>
      <protection locked="0"/>
    </xf>
    <xf numFmtId="43" fontId="17" fillId="3" borderId="29" xfId="1" applyFont="1" applyFill="1" applyBorder="1" applyAlignment="1" applyProtection="1">
      <alignment shrinkToFit="1"/>
      <protection locked="0"/>
    </xf>
    <xf numFmtId="43" fontId="17" fillId="3" borderId="15" xfId="1" applyFont="1" applyFill="1" applyBorder="1" applyAlignment="1" applyProtection="1">
      <alignment shrinkToFit="1"/>
      <protection locked="0"/>
    </xf>
    <xf numFmtId="9" fontId="17" fillId="0" borderId="1" xfId="14" applyFont="1" applyBorder="1" applyAlignment="1">
      <alignment shrinkToFit="1"/>
    </xf>
    <xf numFmtId="0" fontId="17" fillId="3" borderId="19" xfId="0" applyFont="1" applyFill="1" applyBorder="1" applyProtection="1">
      <protection locked="0"/>
    </xf>
    <xf numFmtId="43" fontId="2" fillId="0" borderId="0" xfId="1" applyFont="1" applyAlignment="1" applyProtection="1">
      <alignment horizontal="centerContinuous"/>
    </xf>
    <xf numFmtId="43" fontId="2" fillId="0" borderId="0" xfId="1" applyFont="1" applyAlignment="1">
      <alignment horizontal="centerContinuous"/>
    </xf>
    <xf numFmtId="43" fontId="0" fillId="0" borderId="0" xfId="1" applyFont="1" applyAlignment="1" applyProtection="1">
      <alignment horizontal="center"/>
    </xf>
    <xf numFmtId="43" fontId="0" fillId="0" borderId="0" xfId="1" applyFont="1" applyAlignment="1">
      <alignment horizontal="center"/>
    </xf>
    <xf numFmtId="43" fontId="3" fillId="0" borderId="1" xfId="1" applyFont="1" applyBorder="1" applyAlignment="1" applyProtection="1">
      <alignment horizontal="center"/>
    </xf>
    <xf numFmtId="43" fontId="3" fillId="0" borderId="1" xfId="1" applyFont="1" applyBorder="1" applyAlignment="1">
      <alignment horizontal="center"/>
    </xf>
    <xf numFmtId="43" fontId="0" fillId="0" borderId="1" xfId="1" applyFont="1" applyBorder="1" applyAlignment="1" applyProtection="1">
      <alignment horizontal="right" shrinkToFit="1"/>
    </xf>
    <xf numFmtId="43" fontId="0" fillId="0" borderId="1" xfId="1" applyFont="1" applyBorder="1" applyAlignment="1">
      <alignment horizontal="right" shrinkToFit="1"/>
    </xf>
    <xf numFmtId="43" fontId="0" fillId="3" borderId="11" xfId="1" applyFont="1" applyFill="1" applyBorder="1" applyAlignment="1" applyProtection="1">
      <alignment horizontal="right" shrinkToFit="1"/>
    </xf>
    <xf numFmtId="43" fontId="0" fillId="3" borderId="11" xfId="1" applyFont="1" applyFill="1" applyBorder="1" applyAlignment="1">
      <alignment horizontal="right" shrinkToFit="1"/>
    </xf>
    <xf numFmtId="43" fontId="0" fillId="0" borderId="29" xfId="1" applyFont="1" applyBorder="1" applyAlignment="1" applyProtection="1">
      <alignment horizontal="right" shrinkToFit="1"/>
    </xf>
    <xf numFmtId="43" fontId="0" fillId="0" borderId="0" xfId="1" applyFont="1" applyAlignment="1" applyProtection="1"/>
    <xf numFmtId="43" fontId="17" fillId="0" borderId="4" xfId="0" applyNumberFormat="1" applyFont="1" applyBorder="1"/>
    <xf numFmtId="43" fontId="17" fillId="0" borderId="29" xfId="1" applyFont="1" applyFill="1" applyBorder="1" applyAlignment="1">
      <alignment shrinkToFit="1"/>
    </xf>
    <xf numFmtId="43" fontId="17" fillId="0" borderId="0" xfId="1" applyFont="1" applyBorder="1" applyAlignment="1" applyProtection="1">
      <alignment shrinkToFit="1"/>
      <protection locked="0"/>
    </xf>
    <xf numFmtId="0" fontId="17" fillId="0" borderId="0" xfId="0" applyFont="1" applyProtection="1">
      <protection locked="0"/>
    </xf>
    <xf numFmtId="43" fontId="17" fillId="0" borderId="1" xfId="1" applyFont="1" applyFill="1" applyBorder="1" applyAlignment="1" applyProtection="1">
      <alignment shrinkToFit="1"/>
    </xf>
    <xf numFmtId="0" fontId="45" fillId="0" borderId="32" xfId="0" applyFont="1" applyBorder="1"/>
    <xf numFmtId="14" fontId="0" fillId="0" borderId="32" xfId="0" applyNumberFormat="1" applyBorder="1" applyAlignment="1">
      <alignment horizontal="center"/>
    </xf>
    <xf numFmtId="0" fontId="0" fillId="0" borderId="32" xfId="0" applyBorder="1"/>
    <xf numFmtId="168" fontId="41" fillId="0" borderId="1" xfId="1" applyNumberFormat="1" applyFont="1" applyFill="1" applyBorder="1" applyAlignment="1" applyProtection="1">
      <alignment horizontal="center" shrinkToFit="1"/>
    </xf>
    <xf numFmtId="169" fontId="0" fillId="9" borderId="21" xfId="1" applyNumberFormat="1" applyFont="1" applyFill="1" applyBorder="1" applyAlignment="1" applyProtection="1">
      <alignment shrinkToFit="1"/>
      <protection locked="0"/>
    </xf>
    <xf numFmtId="43" fontId="1" fillId="0" borderId="1" xfId="1" applyFont="1" applyFill="1" applyBorder="1" applyProtection="1"/>
    <xf numFmtId="169" fontId="1" fillId="0" borderId="1" xfId="1" applyNumberFormat="1" applyFill="1" applyBorder="1" applyProtection="1"/>
    <xf numFmtId="43" fontId="1" fillId="0" borderId="32" xfId="1" applyFont="1" applyFill="1" applyBorder="1" applyProtection="1"/>
    <xf numFmtId="169" fontId="1" fillId="0" borderId="32" xfId="1" applyNumberFormat="1" applyFill="1" applyBorder="1" applyProtection="1"/>
    <xf numFmtId="178" fontId="39" fillId="3" borderId="1" xfId="1" applyNumberFormat="1" applyFont="1" applyFill="1" applyBorder="1" applyAlignment="1" applyProtection="1">
      <alignment horizontal="center"/>
      <protection locked="0"/>
    </xf>
    <xf numFmtId="169" fontId="0" fillId="0" borderId="1" xfId="1" applyNumberFormat="1" applyFont="1" applyFill="1" applyBorder="1" applyAlignment="1" applyProtection="1">
      <alignment horizontal="center"/>
    </xf>
    <xf numFmtId="43" fontId="17" fillId="0" borderId="23" xfId="1" applyFont="1" applyFill="1" applyBorder="1" applyAlignment="1" applyProtection="1">
      <alignment shrinkToFit="1"/>
    </xf>
    <xf numFmtId="0" fontId="60" fillId="0" borderId="0" xfId="0" applyFont="1"/>
    <xf numFmtId="0" fontId="13" fillId="0" borderId="0" xfId="0" applyFont="1" applyAlignment="1">
      <alignment horizontal="fill" vertical="center" wrapText="1"/>
    </xf>
    <xf numFmtId="0" fontId="0" fillId="0" borderId="0" xfId="0" applyAlignment="1">
      <alignment horizontal="fill"/>
    </xf>
    <xf numFmtId="0" fontId="2" fillId="0" borderId="0" xfId="0" applyFont="1" applyAlignment="1">
      <alignment horizontal="fill" vertical="center" wrapText="1"/>
    </xf>
    <xf numFmtId="0" fontId="53" fillId="0" borderId="0" xfId="0" applyFont="1" applyAlignment="1" applyProtection="1">
      <alignment horizontal="right"/>
      <protection hidden="1"/>
    </xf>
    <xf numFmtId="0" fontId="0" fillId="0" borderId="58" xfId="0" applyBorder="1"/>
    <xf numFmtId="0" fontId="2" fillId="0" borderId="49" xfId="0" applyFont="1" applyBorder="1"/>
    <xf numFmtId="169" fontId="0" fillId="3" borderId="1" xfId="1" applyNumberFormat="1" applyFont="1" applyFill="1" applyBorder="1" applyAlignment="1" applyProtection="1">
      <alignment shrinkToFit="1"/>
      <protection locked="0"/>
    </xf>
    <xf numFmtId="169" fontId="0" fillId="0" borderId="1" xfId="1" applyNumberFormat="1" applyFont="1" applyFill="1" applyBorder="1" applyAlignment="1">
      <alignment shrinkToFit="1"/>
    </xf>
    <xf numFmtId="169" fontId="2" fillId="0" borderId="1" xfId="1" applyNumberFormat="1" applyFont="1" applyBorder="1" applyAlignment="1">
      <alignment shrinkToFit="1"/>
    </xf>
    <xf numFmtId="0" fontId="1" fillId="0" borderId="27" xfId="0" applyFont="1" applyBorder="1"/>
    <xf numFmtId="0" fontId="0" fillId="0" borderId="22" xfId="0" quotePrefix="1" applyBorder="1" applyAlignment="1">
      <alignment horizontal="right"/>
    </xf>
    <xf numFmtId="179" fontId="21" fillId="0" borderId="4" xfId="0" applyNumberFormat="1" applyFont="1" applyBorder="1" applyAlignment="1" applyProtection="1">
      <alignment horizontal="center"/>
      <protection hidden="1"/>
    </xf>
    <xf numFmtId="169" fontId="0" fillId="9" borderId="21" xfId="1" applyNumberFormat="1" applyFont="1" applyFill="1" applyBorder="1" applyAlignment="1" applyProtection="1">
      <alignment shrinkToFit="1"/>
    </xf>
    <xf numFmtId="180" fontId="35" fillId="9" borderId="4" xfId="0" applyNumberFormat="1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locked="0"/>
    </xf>
    <xf numFmtId="0" fontId="62" fillId="3" borderId="0" xfId="0" applyFont="1" applyFill="1" applyProtection="1">
      <protection locked="0"/>
    </xf>
    <xf numFmtId="0" fontId="62" fillId="3" borderId="4" xfId="0" applyFont="1" applyFill="1" applyBorder="1" applyProtection="1">
      <protection locked="0"/>
    </xf>
    <xf numFmtId="43" fontId="2" fillId="0" borderId="26" xfId="1" applyFont="1" applyBorder="1"/>
    <xf numFmtId="43" fontId="2" fillId="0" borderId="24" xfId="1" applyFont="1" applyBorder="1"/>
    <xf numFmtId="0" fontId="48" fillId="0" borderId="1" xfId="10" applyFont="1" applyFill="1" applyBorder="1" applyAlignment="1" applyProtection="1">
      <protection hidden="1"/>
    </xf>
    <xf numFmtId="0" fontId="1" fillId="0" borderId="0" xfId="0" applyFont="1" applyAlignment="1">
      <alignment horizontal="left"/>
    </xf>
    <xf numFmtId="0" fontId="1" fillId="0" borderId="50" xfId="0" applyFont="1" applyBorder="1"/>
    <xf numFmtId="0" fontId="1" fillId="0" borderId="49" xfId="0" applyFont="1" applyBorder="1"/>
    <xf numFmtId="0" fontId="63" fillId="0" borderId="0" xfId="0" applyFont="1" applyAlignment="1" applyProtection="1">
      <alignment horizontal="center"/>
      <protection hidden="1"/>
    </xf>
    <xf numFmtId="169" fontId="1" fillId="0" borderId="0" xfId="1" applyNumberFormat="1" applyFont="1"/>
    <xf numFmtId="0" fontId="1" fillId="0" borderId="0" xfId="0" applyFont="1" applyAlignment="1">
      <alignment horizontal="centerContinuous"/>
    </xf>
    <xf numFmtId="169" fontId="1" fillId="0" borderId="0" xfId="1" applyNumberFormat="1" applyFont="1" applyAlignment="1">
      <alignment horizontal="centerContinuous"/>
    </xf>
    <xf numFmtId="169" fontId="1" fillId="0" borderId="0" xfId="1" applyNumberFormat="1" applyFont="1" applyBorder="1"/>
    <xf numFmtId="38" fontId="1" fillId="0" borderId="0" xfId="1" applyNumberFormat="1" applyFont="1" applyBorder="1"/>
    <xf numFmtId="38" fontId="1" fillId="0" borderId="0" xfId="0" applyNumberFormat="1" applyFont="1"/>
    <xf numFmtId="38" fontId="1" fillId="0" borderId="0" xfId="1" applyNumberFormat="1" applyFont="1" applyFill="1" applyBorder="1"/>
    <xf numFmtId="169" fontId="1" fillId="0" borderId="0" xfId="1" applyNumberFormat="1" applyFont="1" applyFill="1" applyBorder="1"/>
    <xf numFmtId="169" fontId="1" fillId="0" borderId="0" xfId="1" applyNumberFormat="1" applyFont="1" applyBorder="1" applyAlignment="1">
      <alignment horizontal="centerContinuous"/>
    </xf>
    <xf numFmtId="169" fontId="1" fillId="0" borderId="0" xfId="1" applyNumberFormat="1" applyFont="1" applyBorder="1" applyAlignment="1"/>
    <xf numFmtId="0" fontId="1" fillId="3" borderId="4" xfId="0" applyFont="1" applyFill="1" applyBorder="1" applyProtection="1">
      <protection locked="0"/>
    </xf>
    <xf numFmtId="0" fontId="1" fillId="3" borderId="14" xfId="0" applyFont="1" applyFill="1" applyBorder="1" applyProtection="1">
      <protection locked="0"/>
    </xf>
    <xf numFmtId="38" fontId="14" fillId="2" borderId="0" xfId="0" applyNumberFormat="1" applyFont="1" applyFill="1"/>
    <xf numFmtId="169" fontId="1" fillId="0" borderId="0" xfId="1" applyNumberFormat="1" applyFont="1" applyBorder="1" applyAlignment="1">
      <alignment horizontal="center"/>
    </xf>
    <xf numFmtId="43" fontId="1" fillId="0" borderId="0" xfId="1" applyFont="1" applyBorder="1"/>
    <xf numFmtId="0" fontId="1" fillId="0" borderId="0" xfId="0" applyFont="1" applyAlignment="1">
      <alignment horizontal="center"/>
    </xf>
    <xf numFmtId="43" fontId="1" fillId="0" borderId="0" xfId="1" applyFont="1" applyAlignment="1" applyProtection="1">
      <alignment shrinkToFit="1"/>
      <protection locked="0"/>
    </xf>
    <xf numFmtId="43" fontId="1" fillId="0" borderId="0" xfId="1" applyFont="1" applyAlignment="1" applyProtection="1">
      <alignment shrinkToFit="1"/>
    </xf>
    <xf numFmtId="43" fontId="1" fillId="6" borderId="0" xfId="1" applyFont="1" applyFill="1" applyAlignment="1" applyProtection="1">
      <alignment shrinkToFit="1"/>
    </xf>
    <xf numFmtId="0" fontId="45" fillId="0" borderId="0" xfId="10" applyFont="1" applyBorder="1" applyAlignment="1" applyProtection="1"/>
    <xf numFmtId="43" fontId="1" fillId="6" borderId="0" xfId="1" applyFont="1" applyFill="1" applyAlignment="1" applyProtection="1">
      <alignment shrinkToFit="1"/>
      <protection locked="0"/>
    </xf>
    <xf numFmtId="43" fontId="1" fillId="0" borderId="0" xfId="1" applyFont="1" applyFill="1" applyAlignment="1" applyProtection="1">
      <alignment shrinkToFit="1"/>
    </xf>
    <xf numFmtId="43" fontId="1" fillId="3" borderId="0" xfId="1" applyFont="1" applyFill="1" applyAlignment="1" applyProtection="1">
      <alignment shrinkToFit="1"/>
      <protection locked="0"/>
    </xf>
    <xf numFmtId="43" fontId="1" fillId="0" borderId="0" xfId="1" applyFont="1" applyFill="1" applyAlignment="1" applyProtection="1">
      <alignment shrinkToFit="1"/>
      <protection locked="0"/>
    </xf>
    <xf numFmtId="43" fontId="1" fillId="0" borderId="4" xfId="1" applyFont="1" applyBorder="1" applyAlignment="1" applyProtection="1">
      <alignment shrinkToFit="1"/>
    </xf>
    <xf numFmtId="43" fontId="1" fillId="0" borderId="0" xfId="1" applyFont="1" applyAlignment="1">
      <alignment shrinkToFit="1"/>
    </xf>
    <xf numFmtId="43" fontId="1" fillId="0" borderId="24" xfId="1" applyFont="1" applyBorder="1" applyAlignment="1">
      <alignment shrinkToFit="1"/>
    </xf>
    <xf numFmtId="0" fontId="1" fillId="3" borderId="49" xfId="0" applyFont="1" applyFill="1" applyBorder="1" applyProtection="1">
      <protection locked="0"/>
    </xf>
    <xf numFmtId="0" fontId="1" fillId="3" borderId="40" xfId="0" applyFont="1" applyFill="1" applyBorder="1" applyProtection="1">
      <protection locked="0"/>
    </xf>
    <xf numFmtId="0" fontId="1" fillId="3" borderId="50" xfId="0" applyFont="1" applyFill="1" applyBorder="1" applyProtection="1">
      <protection locked="0"/>
    </xf>
    <xf numFmtId="0" fontId="1" fillId="3" borderId="41" xfId="0" applyFont="1" applyFill="1" applyBorder="1" applyProtection="1">
      <protection locked="0"/>
    </xf>
    <xf numFmtId="0" fontId="1" fillId="0" borderId="50" xfId="0" applyFont="1" applyBorder="1" applyAlignment="1">
      <alignment horizontal="left"/>
    </xf>
    <xf numFmtId="0" fontId="1" fillId="0" borderId="6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Alignment="1">
      <alignment horizontal="justify"/>
    </xf>
    <xf numFmtId="0" fontId="26" fillId="0" borderId="0" xfId="0" applyFont="1" applyAlignment="1">
      <alignment vertical="top"/>
    </xf>
    <xf numFmtId="0" fontId="1" fillId="0" borderId="57" xfId="0" applyFont="1" applyBorder="1"/>
    <xf numFmtId="0" fontId="1" fillId="0" borderId="63" xfId="0" applyFont="1" applyBorder="1"/>
    <xf numFmtId="0" fontId="1" fillId="0" borderId="0" xfId="0" applyFont="1" applyAlignment="1">
      <alignment shrinkToFit="1"/>
    </xf>
    <xf numFmtId="0" fontId="1" fillId="0" borderId="0" xfId="0" quotePrefix="1" applyFont="1" applyAlignment="1">
      <alignment horizontal="center"/>
    </xf>
    <xf numFmtId="169" fontId="14" fillId="0" borderId="32" xfId="1" applyNumberFormat="1" applyFont="1" applyFill="1" applyBorder="1" applyProtection="1"/>
    <xf numFmtId="0" fontId="4" fillId="0" borderId="0" xfId="0" applyFont="1"/>
    <xf numFmtId="0" fontId="14" fillId="0" borderId="0" xfId="0" applyFont="1" applyAlignment="1">
      <alignment horizontal="left"/>
    </xf>
    <xf numFmtId="169" fontId="14" fillId="0" borderId="0" xfId="1" applyNumberFormat="1" applyFont="1" applyAlignment="1">
      <alignment horizontal="center"/>
    </xf>
    <xf numFmtId="169" fontId="14" fillId="0" borderId="0" xfId="0" applyNumberFormat="1" applyFont="1" applyAlignment="1">
      <alignment horizontal="center"/>
    </xf>
    <xf numFmtId="0" fontId="2" fillId="0" borderId="4" xfId="0" applyFont="1" applyBorder="1" applyAlignment="1" applyProtection="1">
      <alignment horizontal="center"/>
      <protection hidden="1"/>
    </xf>
    <xf numFmtId="169" fontId="0" fillId="2" borderId="21" xfId="1" applyNumberFormat="1" applyFont="1" applyFill="1" applyBorder="1" applyAlignment="1" applyProtection="1">
      <alignment shrinkToFit="1"/>
      <protection hidden="1"/>
    </xf>
    <xf numFmtId="169" fontId="2" fillId="0" borderId="28" xfId="1" applyNumberFormat="1" applyFont="1" applyFill="1" applyBorder="1" applyAlignment="1" applyProtection="1">
      <alignment shrinkToFit="1"/>
      <protection hidden="1"/>
    </xf>
    <xf numFmtId="167" fontId="1" fillId="9" borderId="0" xfId="1" applyNumberFormat="1" applyFont="1" applyFill="1" applyBorder="1" applyAlignment="1" applyProtection="1">
      <alignment horizontal="center" shrinkToFit="1"/>
    </xf>
    <xf numFmtId="43" fontId="0" fillId="9" borderId="0" xfId="1" applyFont="1" applyFill="1" applyBorder="1" applyAlignment="1" applyProtection="1">
      <alignment horizontal="center" shrinkToFit="1"/>
    </xf>
    <xf numFmtId="169" fontId="0" fillId="0" borderId="70" xfId="1" applyNumberFormat="1" applyFont="1" applyBorder="1"/>
    <xf numFmtId="169" fontId="0" fillId="0" borderId="49" xfId="1" applyNumberFormat="1" applyFont="1" applyBorder="1"/>
    <xf numFmtId="169" fontId="0" fillId="0" borderId="1" xfId="1" applyNumberFormat="1" applyFont="1" applyBorder="1" applyAlignment="1" applyProtection="1">
      <alignment wrapText="1"/>
    </xf>
    <xf numFmtId="0" fontId="0" fillId="0" borderId="71" xfId="0" applyBorder="1"/>
    <xf numFmtId="0" fontId="1" fillId="0" borderId="72" xfId="0" applyFont="1" applyBorder="1"/>
    <xf numFmtId="0" fontId="15" fillId="0" borderId="0" xfId="0" applyFont="1"/>
    <xf numFmtId="0" fontId="7" fillId="0" borderId="0" xfId="0" applyFont="1" applyAlignment="1" applyProtection="1">
      <alignment horizontal="left"/>
      <protection hidden="1"/>
    </xf>
    <xf numFmtId="169" fontId="1" fillId="3" borderId="34" xfId="1" applyNumberFormat="1" applyFont="1" applyFill="1" applyBorder="1" applyProtection="1">
      <protection locked="0"/>
    </xf>
    <xf numFmtId="0" fontId="21" fillId="6" borderId="18" xfId="10" applyFont="1" applyFill="1" applyBorder="1" applyAlignment="1" applyProtection="1">
      <alignment horizontal="center" vertical="center" wrapText="1"/>
    </xf>
    <xf numFmtId="0" fontId="21" fillId="6" borderId="20" xfId="10" applyFont="1" applyFill="1" applyBorder="1" applyAlignment="1" applyProtection="1">
      <alignment horizontal="center" vertical="center" wrapText="1"/>
    </xf>
    <xf numFmtId="0" fontId="21" fillId="6" borderId="16" xfId="10" applyFont="1" applyFill="1" applyBorder="1" applyAlignment="1" applyProtection="1">
      <alignment horizontal="center" vertical="center" wrapText="1"/>
    </xf>
    <xf numFmtId="0" fontId="21" fillId="6" borderId="17" xfId="10" applyFont="1" applyFill="1" applyBorder="1" applyAlignment="1" applyProtection="1">
      <alignment horizontal="center" vertical="center" wrapText="1"/>
    </xf>
    <xf numFmtId="0" fontId="25" fillId="9" borderId="18" xfId="10" applyFill="1" applyBorder="1" applyAlignment="1" applyProtection="1">
      <alignment horizontal="center" vertical="center" wrapText="1"/>
    </xf>
    <xf numFmtId="0" fontId="25" fillId="0" borderId="20" xfId="10" applyBorder="1" applyAlignment="1" applyProtection="1">
      <alignment vertical="center" wrapText="1"/>
    </xf>
    <xf numFmtId="0" fontId="25" fillId="0" borderId="16" xfId="10" applyBorder="1" applyAlignment="1" applyProtection="1">
      <alignment vertical="center" wrapText="1"/>
    </xf>
    <xf numFmtId="0" fontId="25" fillId="0" borderId="17" xfId="10" applyBorder="1" applyAlignment="1" applyProtection="1">
      <alignment vertical="center" wrapText="1"/>
    </xf>
    <xf numFmtId="0" fontId="40" fillId="9" borderId="18" xfId="10" applyFont="1" applyFill="1" applyBorder="1" applyAlignment="1" applyProtection="1">
      <alignment horizontal="center" vertical="center"/>
    </xf>
    <xf numFmtId="0" fontId="40" fillId="9" borderId="20" xfId="10" applyFont="1" applyFill="1" applyBorder="1" applyAlignment="1" applyProtection="1">
      <alignment horizontal="center" vertical="center"/>
    </xf>
    <xf numFmtId="0" fontId="40" fillId="9" borderId="16" xfId="10" applyFont="1" applyFill="1" applyBorder="1" applyAlignment="1" applyProtection="1">
      <alignment horizontal="center" vertical="center"/>
    </xf>
    <xf numFmtId="0" fontId="40" fillId="9" borderId="17" xfId="10" applyFont="1" applyFill="1" applyBorder="1" applyAlignment="1" applyProtection="1">
      <alignment horizontal="center" vertical="center"/>
    </xf>
    <xf numFmtId="0" fontId="25" fillId="9" borderId="18" xfId="10" applyFill="1" applyBorder="1" applyAlignment="1" applyProtection="1">
      <alignment horizontal="center" vertical="center"/>
    </xf>
    <xf numFmtId="0" fontId="25" fillId="9" borderId="20" xfId="10" applyFill="1" applyBorder="1" applyAlignment="1" applyProtection="1">
      <alignment horizontal="center" vertical="center"/>
    </xf>
    <xf numFmtId="0" fontId="25" fillId="9" borderId="16" xfId="10" applyFill="1" applyBorder="1" applyAlignment="1" applyProtection="1">
      <alignment horizontal="center" vertical="center"/>
    </xf>
    <xf numFmtId="0" fontId="25" fillId="9" borderId="17" xfId="10" applyFill="1" applyBorder="1" applyAlignment="1" applyProtection="1">
      <alignment horizontal="center" vertical="center"/>
    </xf>
    <xf numFmtId="0" fontId="25" fillId="9" borderId="20" xfId="10" applyFill="1" applyBorder="1" applyAlignment="1" applyProtection="1">
      <alignment horizontal="center" vertical="center" wrapText="1"/>
    </xf>
    <xf numFmtId="0" fontId="25" fillId="9" borderId="16" xfId="10" applyFill="1" applyBorder="1" applyAlignment="1" applyProtection="1">
      <alignment horizontal="center" vertical="center" wrapText="1"/>
    </xf>
    <xf numFmtId="0" fontId="25" fillId="9" borderId="17" xfId="10" applyFill="1" applyBorder="1" applyAlignment="1" applyProtection="1">
      <alignment horizontal="center" vertical="center" wrapText="1"/>
    </xf>
    <xf numFmtId="0" fontId="25" fillId="6" borderId="18" xfId="10" applyFill="1" applyBorder="1" applyAlignment="1" applyProtection="1">
      <alignment horizontal="center" vertical="center"/>
    </xf>
    <xf numFmtId="0" fontId="25" fillId="6" borderId="20" xfId="10" applyFill="1" applyBorder="1" applyAlignment="1" applyProtection="1">
      <alignment horizontal="center" vertical="center"/>
    </xf>
    <xf numFmtId="0" fontId="25" fillId="6" borderId="16" xfId="10" applyFill="1" applyBorder="1" applyAlignment="1" applyProtection="1">
      <alignment horizontal="center" vertical="center"/>
    </xf>
    <xf numFmtId="0" fontId="25" fillId="6" borderId="17" xfId="10" applyFill="1" applyBorder="1" applyAlignment="1" applyProtection="1">
      <alignment horizontal="center" vertical="center"/>
    </xf>
    <xf numFmtId="0" fontId="25" fillId="6" borderId="18" xfId="10" applyFill="1" applyBorder="1" applyAlignment="1" applyProtection="1">
      <alignment horizontal="center" vertical="center" wrapText="1"/>
    </xf>
    <xf numFmtId="0" fontId="25" fillId="6" borderId="20" xfId="10" applyFill="1" applyBorder="1" applyAlignment="1" applyProtection="1">
      <alignment horizontal="center" vertical="center" wrapText="1"/>
    </xf>
    <xf numFmtId="0" fontId="25" fillId="6" borderId="16" xfId="10" applyFill="1" applyBorder="1" applyAlignment="1" applyProtection="1">
      <alignment horizontal="center" vertical="center" wrapText="1"/>
    </xf>
    <xf numFmtId="0" fontId="25" fillId="6" borderId="17" xfId="10" applyFill="1" applyBorder="1" applyAlignment="1" applyProtection="1">
      <alignment horizontal="center" vertical="center" wrapText="1"/>
    </xf>
    <xf numFmtId="0" fontId="40" fillId="9" borderId="18" xfId="10" applyFont="1" applyFill="1" applyBorder="1" applyAlignment="1" applyProtection="1">
      <alignment horizontal="center" vertical="center" wrapText="1"/>
    </xf>
    <xf numFmtId="0" fontId="40" fillId="9" borderId="20" xfId="10" applyFont="1" applyFill="1" applyBorder="1" applyAlignment="1" applyProtection="1">
      <alignment horizontal="center" vertical="center" wrapText="1"/>
    </xf>
    <xf numFmtId="0" fontId="40" fillId="9" borderId="16" xfId="10" applyFont="1" applyFill="1" applyBorder="1" applyAlignment="1" applyProtection="1">
      <alignment horizontal="center" vertical="center" wrapText="1"/>
    </xf>
    <xf numFmtId="0" fontId="40" fillId="9" borderId="17" xfId="10" applyFont="1" applyFill="1" applyBorder="1" applyAlignment="1" applyProtection="1">
      <alignment horizontal="center" vertical="center" wrapText="1"/>
    </xf>
    <xf numFmtId="49" fontId="15" fillId="0" borderId="0" xfId="0" applyNumberFormat="1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167" fontId="15" fillId="0" borderId="0" xfId="0" applyNumberFormat="1" applyFont="1" applyAlignment="1" applyProtection="1">
      <alignment horizontal="center"/>
      <protection hidden="1"/>
    </xf>
    <xf numFmtId="0" fontId="2" fillId="0" borderId="2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 wrapText="1"/>
    </xf>
    <xf numFmtId="0" fontId="43" fillId="2" borderId="35" xfId="0" applyFont="1" applyFill="1" applyBorder="1" applyAlignment="1">
      <alignment horizontal="center" vertical="center" wrapText="1"/>
    </xf>
    <xf numFmtId="0" fontId="43" fillId="2" borderId="29" xfId="0" applyFont="1" applyFill="1" applyBorder="1" applyAlignment="1">
      <alignment horizontal="center" vertical="center" wrapText="1"/>
    </xf>
    <xf numFmtId="43" fontId="43" fillId="2" borderId="20" xfId="1" applyFont="1" applyFill="1" applyBorder="1" applyAlignment="1">
      <alignment horizontal="center" vertical="center" wrapText="1"/>
    </xf>
    <xf numFmtId="43" fontId="43" fillId="2" borderId="21" xfId="1" applyFont="1" applyFill="1" applyBorder="1" applyAlignment="1">
      <alignment horizontal="center" vertical="center" wrapText="1"/>
    </xf>
    <xf numFmtId="43" fontId="43" fillId="2" borderId="17" xfId="1" applyFont="1" applyFill="1" applyBorder="1" applyAlignment="1">
      <alignment horizontal="center" vertical="center" wrapText="1"/>
    </xf>
    <xf numFmtId="15" fontId="43" fillId="2" borderId="23" xfId="0" applyNumberFormat="1" applyFont="1" applyFill="1" applyBorder="1" applyAlignment="1">
      <alignment horizontal="center" vertical="center" wrapText="1"/>
    </xf>
    <xf numFmtId="15" fontId="43" fillId="2" borderId="35" xfId="0" applyNumberFormat="1" applyFont="1" applyFill="1" applyBorder="1" applyAlignment="1">
      <alignment horizontal="center" vertical="center" wrapText="1"/>
    </xf>
    <xf numFmtId="15" fontId="43" fillId="2" borderId="18" xfId="0" applyNumberFormat="1" applyFont="1" applyFill="1" applyBorder="1" applyAlignment="1">
      <alignment horizontal="center" vertical="center" wrapText="1"/>
    </xf>
    <xf numFmtId="15" fontId="43" fillId="2" borderId="2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7" fontId="1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23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2" fillId="10" borderId="13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0" fontId="2" fillId="11" borderId="14" xfId="0" applyFont="1" applyFill="1" applyBorder="1" applyAlignment="1">
      <alignment horizontal="center"/>
    </xf>
    <xf numFmtId="0" fontId="2" fillId="11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169" fontId="0" fillId="2" borderId="27" xfId="1" applyNumberFormat="1" applyFont="1" applyFill="1" applyBorder="1" applyAlignment="1">
      <alignment horizontal="center"/>
    </xf>
    <xf numFmtId="169" fontId="0" fillId="2" borderId="73" xfId="1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9" xfId="0" applyBorder="1" applyAlignment="1"/>
  </cellXfs>
  <cellStyles count="22">
    <cellStyle name="Comma" xfId="1" builtinId="3"/>
    <cellStyle name="Comma0" xfId="2" xr:uid="{90D4A972-576F-4FBC-BBF5-95D692FE5074}"/>
    <cellStyle name="Currency" xfId="3" builtinId="4"/>
    <cellStyle name="Currency0" xfId="4" xr:uid="{DFCCAE53-3D89-46A7-8525-D37AE8EC03B0}"/>
    <cellStyle name="Date" xfId="5" xr:uid="{7D7809B9-DCF9-45C8-8078-3F88E4C10A47}"/>
    <cellStyle name="Fixed" xfId="6" xr:uid="{B9B19297-5E49-4A90-B02A-C233B2BCAAD8}"/>
    <cellStyle name="Grey" xfId="7" xr:uid="{879755BF-65F8-467B-B143-2356E7C10700}"/>
    <cellStyle name="Heading 1" xfId="8" builtinId="16" customBuiltin="1"/>
    <cellStyle name="Heading 2" xfId="9" builtinId="17" customBuiltin="1"/>
    <cellStyle name="Hyperlink" xfId="10" builtinId="8"/>
    <cellStyle name="Input [yellow]" xfId="11" xr:uid="{8FD4A2F1-703E-4EDA-B9F0-4219817A7FC7}"/>
    <cellStyle name="Normal" xfId="0" builtinId="0"/>
    <cellStyle name="Normal - Style1" xfId="12" xr:uid="{DEA4F473-3D54-435E-B950-CB178C9FC97C}"/>
    <cellStyle name="Normal 2 2" xfId="13" xr:uid="{E118A655-AEDC-4360-BD96-09F1E94ABD4A}"/>
    <cellStyle name="Percent" xfId="14" builtinId="5"/>
    <cellStyle name="Percent [2]" xfId="15" xr:uid="{ABF2CDE1-C800-4B2B-BE05-5D7AA14919FE}"/>
    <cellStyle name="Times New Roman" xfId="16" xr:uid="{2F2FB62C-D7A6-40E4-9385-E77C9A784B60}"/>
    <cellStyle name="Total" xfId="17" builtinId="25" customBuiltin="1"/>
    <cellStyle name="Tusental (0)_pldt" xfId="18" xr:uid="{718E8684-0510-45B7-B2D6-2F542D32782A}"/>
    <cellStyle name="Tusental_pldt" xfId="19" xr:uid="{814BBE2E-130A-4B12-880C-641E29F4F374}"/>
    <cellStyle name="Valuta (0)_pldt" xfId="20" xr:uid="{99AF4C1A-4B93-4E5A-8A7D-EF5C26408141}"/>
    <cellStyle name="Valuta_pldt" xfId="21" xr:uid="{C43F9EF3-8418-4AB0-AD5F-52F8D2E5C113}"/>
  </cellStyles>
  <dxfs count="13"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</font>
      <fill>
        <patternFill>
          <bgColor rgb="FF00B0F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Drop" dropLines="4" dropStyle="combo" dx="21" fmlaLink="$U$10" fmlaRange="Data!$C$7:$C$11" sel="5" val="0"/>
</file>

<file path=xl/ctrlProps/ctrlProp11.xml><?xml version="1.0" encoding="utf-8"?>
<formControlPr xmlns="http://schemas.microsoft.com/office/spreadsheetml/2009/9/main" objectType="Drop" dropLines="4" dropStyle="combo" dx="21" fmlaLink="$U$11" fmlaRange="Data!$C$7:$C$11" sel="5" val="0"/>
</file>

<file path=xl/ctrlProps/ctrlProp12.xml><?xml version="1.0" encoding="utf-8"?>
<formControlPr xmlns="http://schemas.microsoft.com/office/spreadsheetml/2009/9/main" objectType="Drop" dropLines="4" dropStyle="combo" dx="21" fmlaLink="$U$12" fmlaRange="Data!$C$7:$C$11" sel="5" val="0"/>
</file>

<file path=xl/ctrlProps/ctrlProp13.xml><?xml version="1.0" encoding="utf-8"?>
<formControlPr xmlns="http://schemas.microsoft.com/office/spreadsheetml/2009/9/main" objectType="Drop" dropLines="4" dropStyle="combo" dx="21" fmlaLink="$U$13" fmlaRange="Data!$C$7:$C$11" sel="5" val="0"/>
</file>

<file path=xl/ctrlProps/ctrlProp14.xml><?xml version="1.0" encoding="utf-8"?>
<formControlPr xmlns="http://schemas.microsoft.com/office/spreadsheetml/2009/9/main" objectType="Drop" dropLines="4" dropStyle="combo" dx="21" fmlaLink="$U$14" fmlaRange="Data!$C$7:$C$11" sel="5" val="0"/>
</file>

<file path=xl/ctrlProps/ctrlProp15.xml><?xml version="1.0" encoding="utf-8"?>
<formControlPr xmlns="http://schemas.microsoft.com/office/spreadsheetml/2009/9/main" objectType="Drop" dropLines="4" dropStyle="combo" dx="21" fmlaLink="$U$15" fmlaRange="Data!$C$7:$C$11" sel="5" val="0"/>
</file>

<file path=xl/ctrlProps/ctrlProp16.xml><?xml version="1.0" encoding="utf-8"?>
<formControlPr xmlns="http://schemas.microsoft.com/office/spreadsheetml/2009/9/main" objectType="Drop" dropLines="4" dropStyle="combo" dx="21" fmlaLink="$U$16" fmlaRange="Data!$C$7:$C$11" sel="5" val="0"/>
</file>

<file path=xl/ctrlProps/ctrlProp17.xml><?xml version="1.0" encoding="utf-8"?>
<formControlPr xmlns="http://schemas.microsoft.com/office/spreadsheetml/2009/9/main" objectType="Drop" dropLines="4" dropStyle="combo" dx="21" fmlaLink="$U$17" fmlaRange="Data!$C$7:$C$11" sel="5" val="0"/>
</file>

<file path=xl/ctrlProps/ctrlProp18.xml><?xml version="1.0" encoding="utf-8"?>
<formControlPr xmlns="http://schemas.microsoft.com/office/spreadsheetml/2009/9/main" objectType="Drop" dropLines="4" dropStyle="combo" dx="21" fmlaLink="$U$18" fmlaRange="Data!$C$7:$C$11" sel="5" val="0"/>
</file>

<file path=xl/ctrlProps/ctrlProp19.xml><?xml version="1.0" encoding="utf-8"?>
<formControlPr xmlns="http://schemas.microsoft.com/office/spreadsheetml/2009/9/main" objectType="Drop" dropLines="4" dropStyle="combo" dx="21" fmlaLink="$U$19" fmlaRange="Data!$C$7:$C$11" sel="5" val="0"/>
</file>

<file path=xl/ctrlProps/ctrlProp20.xml><?xml version="1.0" encoding="utf-8"?>
<formControlPr xmlns="http://schemas.microsoft.com/office/spreadsheetml/2009/9/main" objectType="Drop" dropLines="4" dropStyle="combo" dx="21" fmlaLink="$U$20" fmlaRange="Data!$C$7:$C$11" sel="5" val="0"/>
</file>

<file path=xl/ctrlProps/ctrlProp21.xml><?xml version="1.0" encoding="utf-8"?>
<formControlPr xmlns="http://schemas.microsoft.com/office/spreadsheetml/2009/9/main" objectType="Drop" dropLines="4" dropStyle="combo" dx="21" fmlaLink="$U$21" fmlaRange="Data!$C$7:$C$11" sel="5" val="0"/>
</file>

<file path=xl/ctrlProps/ctrlProp22.xml><?xml version="1.0" encoding="utf-8"?>
<formControlPr xmlns="http://schemas.microsoft.com/office/spreadsheetml/2009/9/main" objectType="Drop" dropLines="4" dropStyle="combo" dx="21" fmlaLink="$U$22" fmlaRange="Data!$C$7:$C$11" sel="5" val="0"/>
</file>

<file path=xl/ctrlProps/ctrlProp23.xml><?xml version="1.0" encoding="utf-8"?>
<formControlPr xmlns="http://schemas.microsoft.com/office/spreadsheetml/2009/9/main" objectType="Drop" dropLines="4" dropStyle="combo" dx="21" fmlaLink="$U$23" fmlaRange="Data!$C$7:$C$11" sel="5" val="0"/>
</file>

<file path=xl/ctrlProps/ctrlProp24.xml><?xml version="1.0" encoding="utf-8"?>
<formControlPr xmlns="http://schemas.microsoft.com/office/spreadsheetml/2009/9/main" objectType="Drop" dropLines="4" dropStyle="combo" dx="21" fmlaLink="$U$24" fmlaRange="Data!$C$7:$C$11" sel="5" val="0"/>
</file>

<file path=xl/ctrlProps/ctrlProp25.xml><?xml version="1.0" encoding="utf-8"?>
<formControlPr xmlns="http://schemas.microsoft.com/office/spreadsheetml/2009/9/main" objectType="Drop" dropLines="3" dropStyle="combo" dx="21" fmlaLink="$V$10" fmlaRange="Data!$C$14:$C$16" sel="2" val="0"/>
</file>

<file path=xl/ctrlProps/ctrlProp26.xml><?xml version="1.0" encoding="utf-8"?>
<formControlPr xmlns="http://schemas.microsoft.com/office/spreadsheetml/2009/9/main" objectType="Drop" dropLines="3" dropStyle="combo" dx="21" fmlaLink="$V$11" fmlaRange="Data!$C$14:$C$16" sel="1" val="0"/>
</file>

<file path=xl/ctrlProps/ctrlProp27.xml><?xml version="1.0" encoding="utf-8"?>
<formControlPr xmlns="http://schemas.microsoft.com/office/spreadsheetml/2009/9/main" objectType="Drop" dropLines="3" dropStyle="combo" dx="21" fmlaLink="$V$12" fmlaRange="Data!$C$14:$C$16" sel="1" val="0"/>
</file>

<file path=xl/ctrlProps/ctrlProp28.xml><?xml version="1.0" encoding="utf-8"?>
<formControlPr xmlns="http://schemas.microsoft.com/office/spreadsheetml/2009/9/main" objectType="Drop" dropLines="3" dropStyle="combo" dx="21" fmlaLink="$V$13" fmlaRange="Data!$C$14:$C$16" sel="1" val="0"/>
</file>

<file path=xl/ctrlProps/ctrlProp29.xml><?xml version="1.0" encoding="utf-8"?>
<formControlPr xmlns="http://schemas.microsoft.com/office/spreadsheetml/2009/9/main" objectType="Drop" dropLines="3" dropStyle="combo" dx="21" fmlaLink="$V$14" fmlaRange="Data!$C$14:$C$16" sel="1" val="0"/>
</file>

<file path=xl/ctrlProps/ctrlProp30.xml><?xml version="1.0" encoding="utf-8"?>
<formControlPr xmlns="http://schemas.microsoft.com/office/spreadsheetml/2009/9/main" objectType="Drop" dropLines="3" dropStyle="combo" dx="21" fmlaLink="$V$15" fmlaRange="Data!$C$14:$C$16" sel="1" val="0"/>
</file>

<file path=xl/ctrlProps/ctrlProp31.xml><?xml version="1.0" encoding="utf-8"?>
<formControlPr xmlns="http://schemas.microsoft.com/office/spreadsheetml/2009/9/main" objectType="Drop" dropLines="3" dropStyle="combo" dx="21" fmlaLink="$V$16" fmlaRange="Data!$C$14:$C$16" sel="1" val="0"/>
</file>

<file path=xl/ctrlProps/ctrlProp32.xml><?xml version="1.0" encoding="utf-8"?>
<formControlPr xmlns="http://schemas.microsoft.com/office/spreadsheetml/2009/9/main" objectType="Drop" dropLines="3" dropStyle="combo" dx="21" fmlaLink="$V$17" fmlaRange="Data!$C$14:$C$16" sel="1" val="0"/>
</file>

<file path=xl/ctrlProps/ctrlProp33.xml><?xml version="1.0" encoding="utf-8"?>
<formControlPr xmlns="http://schemas.microsoft.com/office/spreadsheetml/2009/9/main" objectType="Drop" dropLines="3" dropStyle="combo" dx="21" fmlaLink="$V$18" fmlaRange="Data!$C$14:$C$16" sel="1" val="0"/>
</file>

<file path=xl/ctrlProps/ctrlProp34.xml><?xml version="1.0" encoding="utf-8"?>
<formControlPr xmlns="http://schemas.microsoft.com/office/spreadsheetml/2009/9/main" objectType="Drop" dropLines="3" dropStyle="combo" dx="21" fmlaLink="$V$19" fmlaRange="Data!$C$14:$C$16" sel="1" val="0"/>
</file>

<file path=xl/ctrlProps/ctrlProp35.xml><?xml version="1.0" encoding="utf-8"?>
<formControlPr xmlns="http://schemas.microsoft.com/office/spreadsheetml/2009/9/main" objectType="Drop" dropLines="3" dropStyle="combo" dx="21" fmlaLink="$V$20" fmlaRange="Data!$C$14:$C$16" sel="1" val="0"/>
</file>

<file path=xl/ctrlProps/ctrlProp36.xml><?xml version="1.0" encoding="utf-8"?>
<formControlPr xmlns="http://schemas.microsoft.com/office/spreadsheetml/2009/9/main" objectType="Drop" dropLines="3" dropStyle="combo" dx="21" fmlaLink="$V$21" fmlaRange="Data!$C$14:$C$16" sel="2" val="0"/>
</file>

<file path=xl/ctrlProps/ctrlProp37.xml><?xml version="1.0" encoding="utf-8"?>
<formControlPr xmlns="http://schemas.microsoft.com/office/spreadsheetml/2009/9/main" objectType="Drop" dropLines="3" dropStyle="combo" dx="21" fmlaLink="$V$22" fmlaRange="Data!$C$14:$C$16" sel="1" val="0"/>
</file>

<file path=xl/ctrlProps/ctrlProp38.xml><?xml version="1.0" encoding="utf-8"?>
<formControlPr xmlns="http://schemas.microsoft.com/office/spreadsheetml/2009/9/main" objectType="Drop" dropLines="3" dropStyle="combo" dx="21" fmlaLink="$V$23" fmlaRange="Data!$C$14:$C$16" sel="1" val="0"/>
</file>

<file path=xl/ctrlProps/ctrlProp39.xml><?xml version="1.0" encoding="utf-8"?>
<formControlPr xmlns="http://schemas.microsoft.com/office/spreadsheetml/2009/9/main" objectType="Drop" dropLines="3" dropStyle="combo" dx="21" fmlaLink="$V$24" fmlaRange="Data!$C$14:$C$16" sel="1" val="0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Drop" dropLines="4" dropStyle="combo" dx="21" fmlaLink="$R$12" fmlaRange="Data!$C$19:$C$21" sel="1" val="0"/>
</file>

<file path=xl/ctrlProps/ctrlProp71.xml><?xml version="1.0" encoding="utf-8"?>
<formControlPr xmlns="http://schemas.microsoft.com/office/spreadsheetml/2009/9/main" objectType="Drop" dropLines="4" dropStyle="combo" dx="21" fmlaLink="$R$13" fmlaRange="Data!$C$19:$C$21" sel="2" val="0"/>
</file>

<file path=xl/ctrlProps/ctrlProp72.xml><?xml version="1.0" encoding="utf-8"?>
<formControlPr xmlns="http://schemas.microsoft.com/office/spreadsheetml/2009/9/main" objectType="Drop" dropLines="4" dropStyle="combo" dx="21" fmlaLink="$R$14" fmlaRange="Data!$C$19:$C$21" sel="1" val="0"/>
</file>

<file path=xl/ctrlProps/ctrlProp73.xml><?xml version="1.0" encoding="utf-8"?>
<formControlPr xmlns="http://schemas.microsoft.com/office/spreadsheetml/2009/9/main" objectType="Drop" dropLines="4" dropStyle="combo" dx="21" fmlaLink="$R$15" fmlaRange="Data!$C$19:$C$21" sel="2" val="0"/>
</file>

<file path=xl/ctrlProps/ctrlProp74.xml><?xml version="1.0" encoding="utf-8"?>
<formControlPr xmlns="http://schemas.microsoft.com/office/spreadsheetml/2009/9/main" objectType="Drop" dropLines="4" dropStyle="combo" dx="21" fmlaLink="$R$16" fmlaRange="Data!$C$19:$C$21" sel="1" val="0"/>
</file>

<file path=xl/ctrlProps/ctrlProp75.xml><?xml version="1.0" encoding="utf-8"?>
<formControlPr xmlns="http://schemas.microsoft.com/office/spreadsheetml/2009/9/main" objectType="Drop" dropLines="4" dropStyle="combo" dx="21" fmlaLink="$R$17" fmlaRange="Data!$C$19:$C$21" sel="1" val="0"/>
</file>

<file path=xl/ctrlProps/ctrlProp76.xml><?xml version="1.0" encoding="utf-8"?>
<formControlPr xmlns="http://schemas.microsoft.com/office/spreadsheetml/2009/9/main" objectType="Drop" dropLines="4" dropStyle="combo" dx="21" fmlaLink="$R$18" fmlaRange="Data!$C$19:$C$21" sel="1" val="0"/>
</file>

<file path=xl/ctrlProps/ctrlProp77.xml><?xml version="1.0" encoding="utf-8"?>
<formControlPr xmlns="http://schemas.microsoft.com/office/spreadsheetml/2009/9/main" objectType="Drop" dropLines="4" dropStyle="combo" dx="21" fmlaLink="$R$19" fmlaRange="Data!$C$19:$C$21" sel="1" val="0"/>
</file>

<file path=xl/ctrlProps/ctrlProp78.xml><?xml version="1.0" encoding="utf-8"?>
<formControlPr xmlns="http://schemas.microsoft.com/office/spreadsheetml/2009/9/main" objectType="Drop" dropLines="4" dropStyle="combo" dx="21" fmlaLink="$R$20" fmlaRange="Data!$C$19:$C$21" sel="2" val="0"/>
</file>

<file path=xl/ctrlProps/ctrlProp79.xml><?xml version="1.0" encoding="utf-8"?>
<formControlPr xmlns="http://schemas.microsoft.com/office/spreadsheetml/2009/9/main" objectType="Drop" dropLines="4" dropStyle="combo" dx="21" fmlaLink="$R$21" fmlaRange="Data!$C$19:$C$21" sel="1" val="0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CheckBox" checked="Checked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checked="Checked" fmlaLink="$M$136" lockText="1" noThreeD="1"/>
</file>

<file path=xl/ctrlProps/ctrlProp91.xml><?xml version="1.0" encoding="utf-8"?>
<formControlPr xmlns="http://schemas.microsoft.com/office/spreadsheetml/2009/9/main" objectType="CheckBox" fmlaLink="$M$137" lockText="1" noThreeD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779780</xdr:colOff>
      <xdr:row>2</xdr:row>
      <xdr:rowOff>93345</xdr:rowOff>
    </xdr:from>
    <xdr:to>
      <xdr:col>10</xdr:col>
      <xdr:colOff>1411552</xdr:colOff>
      <xdr:row>4</xdr:row>
      <xdr:rowOff>59544</xdr:rowOff>
    </xdr:to>
    <xdr:sp macro="" textlink="">
      <xdr:nvSpPr>
        <xdr:cNvPr id="5121" name="Rectangle 1">
          <a:extLst>
            <a:ext uri="{FF2B5EF4-FFF2-40B4-BE49-F238E27FC236}">
              <a16:creationId xmlns:a16="http://schemas.microsoft.com/office/drawing/2014/main" id="{01B2A27A-E456-C487-408B-95E4827BA0EF}"/>
            </a:ext>
          </a:extLst>
        </xdr:cNvPr>
        <xdr:cNvSpPr>
          <a:spLocks noChangeArrowheads="1"/>
        </xdr:cNvSpPr>
      </xdr:nvSpPr>
      <xdr:spPr bwMode="auto">
        <a:xfrm>
          <a:off x="1209675" y="485775"/>
          <a:ext cx="4543425" cy="3333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900" b="1" i="1" u="none" strike="noStrike" baseline="0">
              <a:solidFill>
                <a:srgbClr val="FF0000"/>
              </a:solidFill>
              <a:latin typeface="Arial"/>
              <a:cs typeface="Arial"/>
            </a:rPr>
            <a:t>This sheet makes use of the Hyperlink function.  </a:t>
          </a:r>
        </a:p>
        <a:p>
          <a:pPr algn="l" rtl="0">
            <a:defRPr sz="1000"/>
          </a:pPr>
          <a:r>
            <a:rPr lang="en-PH" sz="900" b="1" i="1" u="none" strike="noStrike" baseline="0">
              <a:solidFill>
                <a:srgbClr val="FF0000"/>
              </a:solidFill>
              <a:latin typeface="Arial"/>
              <a:cs typeface="Arial"/>
            </a:rPr>
            <a:t>By clicking on the buttons, you will be directed to the desired worksheet.</a:t>
          </a:r>
        </a:p>
      </xdr:txBody>
    </xdr:sp>
    <xdr:clientData fPrintsWithSheet="0"/>
  </xdr:twoCellAnchor>
  <xdr:twoCellAnchor>
    <xdr:from>
      <xdr:col>2</xdr:col>
      <xdr:colOff>0</xdr:colOff>
      <xdr:row>26</xdr:row>
      <xdr:rowOff>0</xdr:rowOff>
    </xdr:from>
    <xdr:to>
      <xdr:col>4</xdr:col>
      <xdr:colOff>0</xdr:colOff>
      <xdr:row>28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9A44489-99CB-307C-0CEB-6AC80C284E6B}"/>
            </a:ext>
          </a:extLst>
        </xdr:cNvPr>
        <xdr:cNvSpPr/>
      </xdr:nvSpPr>
      <xdr:spPr>
        <a:xfrm>
          <a:off x="446690" y="3538483"/>
          <a:ext cx="1497724" cy="315310"/>
        </a:xfrm>
        <a:prstGeom prst="rect">
          <a:avLst/>
        </a:prstGeom>
        <a:noFill/>
        <a:ln w="12700">
          <a:solidFill>
            <a:prstClr val="black"/>
          </a:solidFill>
        </a:ln>
        <a:effectLst>
          <a:outerShdw blurRad="50800" dist="38100" algn="l" rotWithShape="0">
            <a:prstClr val="black">
              <a:alpha val="40000"/>
            </a:prstClr>
          </a:outerShdw>
        </a:effectLst>
      </xdr:spPr>
      <xdr:txBody>
        <a:bodyPr vertOverflow="clip" horzOverflow="clip" wrap="square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147955</xdr:colOff>
      <xdr:row>0</xdr:row>
      <xdr:rowOff>0</xdr:rowOff>
    </xdr:from>
    <xdr:to>
      <xdr:col>2</xdr:col>
      <xdr:colOff>1842065</xdr:colOff>
      <xdr:row>2</xdr:row>
      <xdr:rowOff>123178</xdr:rowOff>
    </xdr:to>
    <xdr:sp macro="" textlink="">
      <xdr:nvSpPr>
        <xdr:cNvPr id="4115" name="Rectangle 19">
          <a:extLst>
            <a:ext uri="{FF2B5EF4-FFF2-40B4-BE49-F238E27FC236}">
              <a16:creationId xmlns:a16="http://schemas.microsoft.com/office/drawing/2014/main" id="{8A3CA536-37C9-EFCD-FEC2-1C51FDC491B3}"/>
            </a:ext>
          </a:extLst>
        </xdr:cNvPr>
        <xdr:cNvSpPr>
          <a:spLocks noChangeArrowheads="1"/>
        </xdr:cNvSpPr>
      </xdr:nvSpPr>
      <xdr:spPr bwMode="auto">
        <a:xfrm>
          <a:off x="3914775" y="0"/>
          <a:ext cx="1685925" cy="428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</a:t>
          </a:r>
        </a:p>
        <a:p>
          <a:pPr algn="l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This worksheet is protected.  Pls don’t make any alteration.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0</xdr:row>
          <xdr:rowOff>0</xdr:rowOff>
        </xdr:from>
        <xdr:to>
          <xdr:col>0</xdr:col>
          <xdr:colOff>1143000</xdr:colOff>
          <xdr:row>1</xdr:row>
          <xdr:rowOff>66675</xdr:rowOff>
        </xdr:to>
        <xdr:sp macro="" textlink="">
          <xdr:nvSpPr>
            <xdr:cNvPr id="4102" name="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4EC50104-3E24-44AD-5D64-916A9F6957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16</xdr:row>
      <xdr:rowOff>0</xdr:rowOff>
    </xdr:from>
    <xdr:to>
      <xdr:col>5</xdr:col>
      <xdr:colOff>943620</xdr:colOff>
      <xdr:row>18</xdr:row>
      <xdr:rowOff>1270</xdr:rowOff>
    </xdr:to>
    <xdr:sp macro="" textlink="">
      <xdr:nvSpPr>
        <xdr:cNvPr id="9219" name="Rectangle 3">
          <a:extLst>
            <a:ext uri="{FF2B5EF4-FFF2-40B4-BE49-F238E27FC236}">
              <a16:creationId xmlns:a16="http://schemas.microsoft.com/office/drawing/2014/main" id="{F4DEBFF3-3934-0915-B625-A9052DF183E2}"/>
            </a:ext>
          </a:extLst>
        </xdr:cNvPr>
        <xdr:cNvSpPr>
          <a:spLocks noChangeArrowheads="1"/>
        </xdr:cNvSpPr>
      </xdr:nvSpPr>
      <xdr:spPr bwMode="auto">
        <a:xfrm>
          <a:off x="257175" y="2609850"/>
          <a:ext cx="5791200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Indicate date and amount of Increase in Capital Stock applied for with SEC.</a:t>
          </a:r>
        </a:p>
        <a:p>
          <a:pPr algn="l" rtl="0">
            <a:defRPr sz="1000"/>
          </a:pPr>
          <a:r>
            <a:rPr lang="en-PH" sz="900" b="0" i="1" u="none" strike="noStrike" baseline="0">
              <a:solidFill>
                <a:srgbClr val="FF0000"/>
              </a:solidFill>
              <a:latin typeface="Arial"/>
              <a:cs typeface="Arial"/>
            </a:rPr>
            <a:t>Provide a copy of supporting documents to SEC-MRD and PSE - Market Regulatory Office.</a:t>
          </a:r>
        </a:p>
      </xdr:txBody>
    </xdr:sp>
    <xdr:clientData fPrintsWithSheet="0"/>
  </xdr:twoCellAnchor>
  <xdr:twoCellAnchor>
    <xdr:from>
      <xdr:col>2</xdr:col>
      <xdr:colOff>869315</xdr:colOff>
      <xdr:row>0</xdr:row>
      <xdr:rowOff>0</xdr:rowOff>
    </xdr:from>
    <xdr:to>
      <xdr:col>6</xdr:col>
      <xdr:colOff>259049</xdr:colOff>
      <xdr:row>1</xdr:row>
      <xdr:rowOff>38100</xdr:rowOff>
    </xdr:to>
    <xdr:sp macro="" textlink="">
      <xdr:nvSpPr>
        <xdr:cNvPr id="9221" name="Rectangle 5">
          <a:extLst>
            <a:ext uri="{FF2B5EF4-FFF2-40B4-BE49-F238E27FC236}">
              <a16:creationId xmlns:a16="http://schemas.microsoft.com/office/drawing/2014/main" id="{278EC51E-1DBE-B725-4495-097A5DC56AA6}"/>
            </a:ext>
          </a:extLst>
        </xdr:cNvPr>
        <xdr:cNvSpPr>
          <a:spLocks noChangeArrowheads="1"/>
        </xdr:cNvSpPr>
      </xdr:nvSpPr>
      <xdr:spPr bwMode="auto">
        <a:xfrm>
          <a:off x="2419350" y="0"/>
          <a:ext cx="4076700" cy="2000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  Only cells highlighted with </a:t>
          </a:r>
          <a:r>
            <a:rPr lang="en-PH" sz="800" b="1" i="0" u="none" strike="noStrike" baseline="0">
              <a:solidFill>
                <a:srgbClr val="FFFFCC"/>
              </a:solidFill>
              <a:latin typeface="Arial"/>
              <a:cs typeface="Arial"/>
            </a:rPr>
            <a:t>LIGHT YELLOW 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are for encoding.</a:t>
          </a:r>
        </a:p>
      </xdr:txBody>
    </xdr:sp>
    <xdr:clientData fPrintsWithSheet="0"/>
  </xdr:twoCellAnchor>
  <xdr:twoCellAnchor>
    <xdr:from>
      <xdr:col>1</xdr:col>
      <xdr:colOff>1102360</xdr:colOff>
      <xdr:row>104</xdr:row>
      <xdr:rowOff>9525</xdr:rowOff>
    </xdr:from>
    <xdr:to>
      <xdr:col>6</xdr:col>
      <xdr:colOff>39993</xdr:colOff>
      <xdr:row>105</xdr:row>
      <xdr:rowOff>9525</xdr:rowOff>
    </xdr:to>
    <xdr:sp macro="" textlink="">
      <xdr:nvSpPr>
        <xdr:cNvPr id="9238" name="Rectangle 22">
          <a:extLst>
            <a:ext uri="{FF2B5EF4-FFF2-40B4-BE49-F238E27FC236}">
              <a16:creationId xmlns:a16="http://schemas.microsoft.com/office/drawing/2014/main" id="{4A064027-FF7C-AE29-792F-2C24A494C0F1}"/>
            </a:ext>
          </a:extLst>
        </xdr:cNvPr>
        <xdr:cNvSpPr>
          <a:spLocks noChangeArrowheads="1"/>
        </xdr:cNvSpPr>
      </xdr:nvSpPr>
      <xdr:spPr bwMode="auto">
        <a:xfrm>
          <a:off x="1323975" y="17230725"/>
          <a:ext cx="4972050" cy="16192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TIP: 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Encode all Loans subject to or not subject to collateral in the table below.</a:t>
          </a:r>
        </a:p>
      </xdr:txBody>
    </xdr:sp>
    <xdr:clientData fPrintsWithSheet="0"/>
  </xdr:twoCellAnchor>
  <xdr:twoCellAnchor>
    <xdr:from>
      <xdr:col>2</xdr:col>
      <xdr:colOff>675005</xdr:colOff>
      <xdr:row>121</xdr:row>
      <xdr:rowOff>9525</xdr:rowOff>
    </xdr:from>
    <xdr:to>
      <xdr:col>5</xdr:col>
      <xdr:colOff>360660</xdr:colOff>
      <xdr:row>121</xdr:row>
      <xdr:rowOff>150520</xdr:rowOff>
    </xdr:to>
    <xdr:sp macro="" textlink="">
      <xdr:nvSpPr>
        <xdr:cNvPr id="9239" name="Rectangle 23">
          <a:extLst>
            <a:ext uri="{FF2B5EF4-FFF2-40B4-BE49-F238E27FC236}">
              <a16:creationId xmlns:a16="http://schemas.microsoft.com/office/drawing/2014/main" id="{82C4048A-9828-102F-1E90-BAF8BDD22335}"/>
            </a:ext>
          </a:extLst>
        </xdr:cNvPr>
        <xdr:cNvSpPr>
          <a:spLocks noChangeArrowheads="1"/>
        </xdr:cNvSpPr>
      </xdr:nvSpPr>
      <xdr:spPr bwMode="auto">
        <a:xfrm>
          <a:off x="2228850" y="19983450"/>
          <a:ext cx="3248025" cy="142875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 This table is strictly for Loans secured by securities.</a:t>
          </a:r>
        </a:p>
      </xdr:txBody>
    </xdr:sp>
    <xdr:clientData fPrintsWithSheet="0"/>
  </xdr:twoCellAnchor>
  <xdr:twoCellAnchor>
    <xdr:from>
      <xdr:col>3</xdr:col>
      <xdr:colOff>649605</xdr:colOff>
      <xdr:row>124</xdr:row>
      <xdr:rowOff>28575</xdr:rowOff>
    </xdr:from>
    <xdr:to>
      <xdr:col>4</xdr:col>
      <xdr:colOff>657870</xdr:colOff>
      <xdr:row>124</xdr:row>
      <xdr:rowOff>209550</xdr:rowOff>
    </xdr:to>
    <xdr:sp macro="" textlink="">
      <xdr:nvSpPr>
        <xdr:cNvPr id="9240" name="Rectangle 24">
          <a:extLst>
            <a:ext uri="{FF2B5EF4-FFF2-40B4-BE49-F238E27FC236}">
              <a16:creationId xmlns:a16="http://schemas.microsoft.com/office/drawing/2014/main" id="{869291F3-168E-BDC0-31C8-A74DA7A7F4E8}"/>
            </a:ext>
          </a:extLst>
        </xdr:cNvPr>
        <xdr:cNvSpPr>
          <a:spLocks noChangeArrowheads="1"/>
        </xdr:cNvSpPr>
      </xdr:nvSpPr>
      <xdr:spPr bwMode="auto">
        <a:xfrm>
          <a:off x="3314700" y="20488275"/>
          <a:ext cx="1524000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none" strike="noStrike" baseline="0">
              <a:solidFill>
                <a:srgbClr val="0000FF"/>
              </a:solidFill>
              <a:latin typeface="Arial"/>
              <a:cs typeface="Arial"/>
            </a:rPr>
            <a:t>Format: mm/dd/yyyy </a:t>
          </a:r>
        </a:p>
      </xdr:txBody>
    </xdr:sp>
    <xdr:clientData/>
  </xdr:twoCellAnchor>
  <xdr:twoCellAnchor>
    <xdr:from>
      <xdr:col>3</xdr:col>
      <xdr:colOff>649605</xdr:colOff>
      <xdr:row>107</xdr:row>
      <xdr:rowOff>0</xdr:rowOff>
    </xdr:from>
    <xdr:to>
      <xdr:col>4</xdr:col>
      <xdr:colOff>657870</xdr:colOff>
      <xdr:row>108</xdr:row>
      <xdr:rowOff>0</xdr:rowOff>
    </xdr:to>
    <xdr:sp macro="" textlink="">
      <xdr:nvSpPr>
        <xdr:cNvPr id="9241" name="Rectangle 25">
          <a:extLst>
            <a:ext uri="{FF2B5EF4-FFF2-40B4-BE49-F238E27FC236}">
              <a16:creationId xmlns:a16="http://schemas.microsoft.com/office/drawing/2014/main" id="{D63237BC-D38A-270B-71CB-46988CE1B70B}"/>
            </a:ext>
          </a:extLst>
        </xdr:cNvPr>
        <xdr:cNvSpPr>
          <a:spLocks noChangeArrowheads="1"/>
        </xdr:cNvSpPr>
      </xdr:nvSpPr>
      <xdr:spPr bwMode="auto">
        <a:xfrm>
          <a:off x="3314700" y="17706975"/>
          <a:ext cx="1524000" cy="1619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none" strike="noStrike" baseline="0">
              <a:solidFill>
                <a:srgbClr val="0000FF"/>
              </a:solidFill>
              <a:latin typeface="Arial"/>
              <a:cs typeface="Arial"/>
            </a:rPr>
            <a:t>Format: mm/dd/yyyy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0</xdr:rowOff>
        </xdr:from>
        <xdr:to>
          <xdr:col>1</xdr:col>
          <xdr:colOff>895350</xdr:colOff>
          <xdr:row>1</xdr:row>
          <xdr:rowOff>57150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5A151E19-5B6C-4740-CCEB-45E74877D3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895350</xdr:colOff>
          <xdr:row>0</xdr:row>
          <xdr:rowOff>0</xdr:rowOff>
        </xdr:from>
        <xdr:to>
          <xdr:col>2</xdr:col>
          <xdr:colOff>666750</xdr:colOff>
          <xdr:row>1</xdr:row>
          <xdr:rowOff>57150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B24CBC4D-A2AC-3846-C963-5D2260DAB0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0</xdr:col>
          <xdr:colOff>1152525</xdr:colOff>
          <xdr:row>1</xdr:row>
          <xdr:rowOff>57150</xdr:rowOff>
        </xdr:to>
        <xdr:sp macro="" textlink="">
          <xdr:nvSpPr>
            <xdr:cNvPr id="52225" name="Button 1" hidden="1">
              <a:extLst>
                <a:ext uri="{63B3BB69-23CF-44E3-9099-C40C66FF867C}">
                  <a14:compatExt spid="_x0000_s52225"/>
                </a:ext>
                <a:ext uri="{FF2B5EF4-FFF2-40B4-BE49-F238E27FC236}">
                  <a16:creationId xmlns:a16="http://schemas.microsoft.com/office/drawing/2014/main" id="{1EEE0CD4-5026-1013-2B74-F9B09E74EA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0</xdr:col>
          <xdr:colOff>1152525</xdr:colOff>
          <xdr:row>2</xdr:row>
          <xdr:rowOff>123825</xdr:rowOff>
        </xdr:to>
        <xdr:sp macro="" textlink="">
          <xdr:nvSpPr>
            <xdr:cNvPr id="52226" name="Button 2" hidden="1">
              <a:extLst>
                <a:ext uri="{63B3BB69-23CF-44E3-9099-C40C66FF867C}">
                  <a14:compatExt spid="_x0000_s52226"/>
                </a:ext>
                <a:ext uri="{FF2B5EF4-FFF2-40B4-BE49-F238E27FC236}">
                  <a16:creationId xmlns:a16="http://schemas.microsoft.com/office/drawing/2014/main" id="{99D62BDA-3422-62A2-F7FD-EDCD7DC6E3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4</xdr:row>
      <xdr:rowOff>9525</xdr:rowOff>
    </xdr:from>
    <xdr:to>
      <xdr:col>2</xdr:col>
      <xdr:colOff>768923</xdr:colOff>
      <xdr:row>4</xdr:row>
      <xdr:rowOff>150520</xdr:rowOff>
    </xdr:to>
    <xdr:sp macro="" textlink="">
      <xdr:nvSpPr>
        <xdr:cNvPr id="2088" name="Rectangle 40">
          <a:extLst>
            <a:ext uri="{FF2B5EF4-FFF2-40B4-BE49-F238E27FC236}">
              <a16:creationId xmlns:a16="http://schemas.microsoft.com/office/drawing/2014/main" id="{B09E10BA-3BC4-217C-8767-4F98548AB789}"/>
            </a:ext>
          </a:extLst>
        </xdr:cNvPr>
        <xdr:cNvSpPr>
          <a:spLocks noChangeArrowheads="1"/>
        </xdr:cNvSpPr>
      </xdr:nvSpPr>
      <xdr:spPr bwMode="auto">
        <a:xfrm>
          <a:off x="238125" y="742950"/>
          <a:ext cx="4876800" cy="14287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Please DO NOT ADD or ALTER any account…Nor INSERT a row or column...</a:t>
          </a:r>
        </a:p>
      </xdr:txBody>
    </xdr:sp>
    <xdr:clientData fPrintsWithSheet="0"/>
  </xdr:twoCellAnchor>
  <xdr:twoCellAnchor>
    <xdr:from>
      <xdr:col>0</xdr:col>
      <xdr:colOff>1532890</xdr:colOff>
      <xdr:row>9</xdr:row>
      <xdr:rowOff>3175</xdr:rowOff>
    </xdr:from>
    <xdr:to>
      <xdr:col>0</xdr:col>
      <xdr:colOff>3149197</xdr:colOff>
      <xdr:row>9</xdr:row>
      <xdr:rowOff>146198</xdr:rowOff>
    </xdr:to>
    <xdr:sp macro="" textlink="">
      <xdr:nvSpPr>
        <xdr:cNvPr id="2090" name="Rectangle 42">
          <a:extLst>
            <a:ext uri="{FF2B5EF4-FFF2-40B4-BE49-F238E27FC236}">
              <a16:creationId xmlns:a16="http://schemas.microsoft.com/office/drawing/2014/main" id="{45D125D7-479B-768A-EF1A-385C3A49AE11}"/>
            </a:ext>
          </a:extLst>
        </xdr:cNvPr>
        <xdr:cNvSpPr>
          <a:spLocks noChangeArrowheads="1"/>
        </xdr:cNvSpPr>
      </xdr:nvSpPr>
      <xdr:spPr bwMode="auto">
        <a:xfrm>
          <a:off x="1495425" y="1562100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3</xdr:col>
      <xdr:colOff>137795</xdr:colOff>
      <xdr:row>123</xdr:row>
      <xdr:rowOff>3175</xdr:rowOff>
    </xdr:from>
    <xdr:to>
      <xdr:col>4</xdr:col>
      <xdr:colOff>325768</xdr:colOff>
      <xdr:row>124</xdr:row>
      <xdr:rowOff>119566</xdr:rowOff>
    </xdr:to>
    <xdr:sp macro="" textlink="">
      <xdr:nvSpPr>
        <xdr:cNvPr id="2155" name="AutoShape 107">
          <a:extLst>
            <a:ext uri="{FF2B5EF4-FFF2-40B4-BE49-F238E27FC236}">
              <a16:creationId xmlns:a16="http://schemas.microsoft.com/office/drawing/2014/main" id="{62C0F680-55B7-F2CB-BABD-29F25283583D}"/>
            </a:ext>
          </a:extLst>
        </xdr:cNvPr>
        <xdr:cNvSpPr>
          <a:spLocks noChangeArrowheads="1"/>
        </xdr:cNvSpPr>
      </xdr:nvSpPr>
      <xdr:spPr bwMode="auto">
        <a:xfrm>
          <a:off x="5495925" y="19450050"/>
          <a:ext cx="1238250" cy="285750"/>
        </a:xfrm>
        <a:prstGeom prst="wedgeRoundRectCallout">
          <a:avLst>
            <a:gd name="adj1" fmla="val -60000"/>
            <a:gd name="adj2" fmla="val 6667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Not part of formula.</a:t>
          </a:r>
        </a:p>
      </xdr:txBody>
    </xdr:sp>
    <xdr:clientData/>
  </xdr:twoCellAnchor>
  <xdr:twoCellAnchor>
    <xdr:from>
      <xdr:col>0</xdr:col>
      <xdr:colOff>1532890</xdr:colOff>
      <xdr:row>10</xdr:row>
      <xdr:rowOff>3175</xdr:rowOff>
    </xdr:from>
    <xdr:to>
      <xdr:col>0</xdr:col>
      <xdr:colOff>3157146</xdr:colOff>
      <xdr:row>10</xdr:row>
      <xdr:rowOff>146198</xdr:rowOff>
    </xdr:to>
    <xdr:sp macro="" textlink="">
      <xdr:nvSpPr>
        <xdr:cNvPr id="2156" name="Rectangle 108">
          <a:extLst>
            <a:ext uri="{FF2B5EF4-FFF2-40B4-BE49-F238E27FC236}">
              <a16:creationId xmlns:a16="http://schemas.microsoft.com/office/drawing/2014/main" id="{584EBFE9-1166-013E-D30C-DC102705F7D1}"/>
            </a:ext>
          </a:extLst>
        </xdr:cNvPr>
        <xdr:cNvSpPr>
          <a:spLocks noChangeArrowheads="1"/>
        </xdr:cNvSpPr>
      </xdr:nvSpPr>
      <xdr:spPr bwMode="auto">
        <a:xfrm>
          <a:off x="1617345" y="1679575"/>
          <a:ext cx="1693513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0</xdr:col>
      <xdr:colOff>1740535</xdr:colOff>
      <xdr:row>18</xdr:row>
      <xdr:rowOff>9525</xdr:rowOff>
    </xdr:from>
    <xdr:to>
      <xdr:col>1</xdr:col>
      <xdr:colOff>47237</xdr:colOff>
      <xdr:row>18</xdr:row>
      <xdr:rowOff>150520</xdr:rowOff>
    </xdr:to>
    <xdr:sp macro="" textlink="">
      <xdr:nvSpPr>
        <xdr:cNvPr id="2157" name="Rectangle 109">
          <a:extLst>
            <a:ext uri="{FF2B5EF4-FFF2-40B4-BE49-F238E27FC236}">
              <a16:creationId xmlns:a16="http://schemas.microsoft.com/office/drawing/2014/main" id="{2BF79CB2-159F-379C-FCE4-7C2FB646C482}"/>
            </a:ext>
          </a:extLst>
        </xdr:cNvPr>
        <xdr:cNvSpPr>
          <a:spLocks noChangeArrowheads="1"/>
        </xdr:cNvSpPr>
      </xdr:nvSpPr>
      <xdr:spPr bwMode="auto">
        <a:xfrm>
          <a:off x="1695450" y="3019425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0</xdr:col>
      <xdr:colOff>1700530</xdr:colOff>
      <xdr:row>12</xdr:row>
      <xdr:rowOff>0</xdr:rowOff>
    </xdr:from>
    <xdr:to>
      <xdr:col>1</xdr:col>
      <xdr:colOff>10919</xdr:colOff>
      <xdr:row>12</xdr:row>
      <xdr:rowOff>145649</xdr:rowOff>
    </xdr:to>
    <xdr:sp macro="" textlink="">
      <xdr:nvSpPr>
        <xdr:cNvPr id="2158" name="Rectangle 110">
          <a:extLst>
            <a:ext uri="{FF2B5EF4-FFF2-40B4-BE49-F238E27FC236}">
              <a16:creationId xmlns:a16="http://schemas.microsoft.com/office/drawing/2014/main" id="{B58120A7-2724-619E-0AF7-58201C954C29}"/>
            </a:ext>
          </a:extLst>
        </xdr:cNvPr>
        <xdr:cNvSpPr>
          <a:spLocks noChangeArrowheads="1"/>
        </xdr:cNvSpPr>
      </xdr:nvSpPr>
      <xdr:spPr bwMode="auto">
        <a:xfrm>
          <a:off x="1647825" y="2038350"/>
          <a:ext cx="159067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PH" sz="750" b="1" i="0" u="none" strike="noStrike" baseline="0">
              <a:solidFill>
                <a:srgbClr val="0000FF"/>
              </a:solidFill>
              <a:latin typeface="Arial"/>
              <a:cs typeface="Arial"/>
            </a:rPr>
            <a:t>(With supporting schedule)</a:t>
          </a:r>
        </a:p>
        <a:p>
          <a:pPr algn="ctr" rtl="0">
            <a:defRPr sz="1000"/>
          </a:pPr>
          <a:endParaRPr lang="en-PH" sz="75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5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750" b="1" i="0" u="none" strike="noStrike" baseline="0">
              <a:solidFill>
                <a:srgbClr val="0000FF"/>
              </a:solidFill>
              <a:latin typeface="Arial"/>
              <a:cs typeface="Arial"/>
            </a:rPr>
            <a:t>)</a:t>
          </a:r>
        </a:p>
      </xdr:txBody>
    </xdr:sp>
    <xdr:clientData fPrintsWithSheet="0"/>
  </xdr:twoCellAnchor>
  <xdr:twoCellAnchor>
    <xdr:from>
      <xdr:col>0</xdr:col>
      <xdr:colOff>2036445</xdr:colOff>
      <xdr:row>14</xdr:row>
      <xdr:rowOff>12700</xdr:rowOff>
    </xdr:from>
    <xdr:to>
      <xdr:col>1</xdr:col>
      <xdr:colOff>878</xdr:colOff>
      <xdr:row>15</xdr:row>
      <xdr:rowOff>302</xdr:rowOff>
    </xdr:to>
    <xdr:sp macro="" textlink="">
      <xdr:nvSpPr>
        <xdr:cNvPr id="2159" name="Rectangle 111">
          <a:extLst>
            <a:ext uri="{FF2B5EF4-FFF2-40B4-BE49-F238E27FC236}">
              <a16:creationId xmlns:a16="http://schemas.microsoft.com/office/drawing/2014/main" id="{AE3F6647-FB5B-1EDB-8906-1984D6FD2EB5}"/>
            </a:ext>
          </a:extLst>
        </xdr:cNvPr>
        <xdr:cNvSpPr>
          <a:spLocks noChangeArrowheads="1"/>
        </xdr:cNvSpPr>
      </xdr:nvSpPr>
      <xdr:spPr bwMode="auto">
        <a:xfrm>
          <a:off x="1990725" y="2381250"/>
          <a:ext cx="1219200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PH" sz="750" b="1" i="0" u="none" strike="noStrike" baseline="0">
              <a:solidFill>
                <a:srgbClr val="0000FF"/>
              </a:solidFill>
              <a:latin typeface="Arial"/>
              <a:cs typeface="Arial"/>
            </a:rPr>
            <a:t>(With supporting sched)</a:t>
          </a:r>
        </a:p>
      </xdr:txBody>
    </xdr:sp>
    <xdr:clientData fPrintsWithSheet="0"/>
  </xdr:twoCellAnchor>
  <xdr:twoCellAnchor>
    <xdr:from>
      <xdr:col>0</xdr:col>
      <xdr:colOff>1635760</xdr:colOff>
      <xdr:row>29</xdr:row>
      <xdr:rowOff>0</xdr:rowOff>
    </xdr:from>
    <xdr:to>
      <xdr:col>0</xdr:col>
      <xdr:colOff>3200322</xdr:colOff>
      <xdr:row>30</xdr:row>
      <xdr:rowOff>0</xdr:rowOff>
    </xdr:to>
    <xdr:sp macro="" textlink="">
      <xdr:nvSpPr>
        <xdr:cNvPr id="2160" name="Rectangle 112">
          <a:extLst>
            <a:ext uri="{FF2B5EF4-FFF2-40B4-BE49-F238E27FC236}">
              <a16:creationId xmlns:a16="http://schemas.microsoft.com/office/drawing/2014/main" id="{FE36C600-A6CA-81BE-521C-EA3EA035F46B}"/>
            </a:ext>
          </a:extLst>
        </xdr:cNvPr>
        <xdr:cNvSpPr>
          <a:spLocks noChangeArrowheads="1"/>
        </xdr:cNvSpPr>
      </xdr:nvSpPr>
      <xdr:spPr bwMode="auto">
        <a:xfrm>
          <a:off x="1590675" y="4752975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0</xdr:col>
      <xdr:colOff>1532890</xdr:colOff>
      <xdr:row>121</xdr:row>
      <xdr:rowOff>3175</xdr:rowOff>
    </xdr:from>
    <xdr:to>
      <xdr:col>0</xdr:col>
      <xdr:colOff>3149197</xdr:colOff>
      <xdr:row>121</xdr:row>
      <xdr:rowOff>146198</xdr:rowOff>
    </xdr:to>
    <xdr:sp macro="" textlink="">
      <xdr:nvSpPr>
        <xdr:cNvPr id="2161" name="Rectangle 113">
          <a:extLst>
            <a:ext uri="{FF2B5EF4-FFF2-40B4-BE49-F238E27FC236}">
              <a16:creationId xmlns:a16="http://schemas.microsoft.com/office/drawing/2014/main" id="{6F0557F1-88B4-9468-107A-6075B4D7674D}"/>
            </a:ext>
          </a:extLst>
        </xdr:cNvPr>
        <xdr:cNvSpPr>
          <a:spLocks noChangeArrowheads="1"/>
        </xdr:cNvSpPr>
      </xdr:nvSpPr>
      <xdr:spPr bwMode="auto">
        <a:xfrm>
          <a:off x="1495425" y="19126200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1</xdr:col>
      <xdr:colOff>40005</xdr:colOff>
      <xdr:row>2</xdr:row>
      <xdr:rowOff>0</xdr:rowOff>
    </xdr:from>
    <xdr:to>
      <xdr:col>4</xdr:col>
      <xdr:colOff>916330</xdr:colOff>
      <xdr:row>3</xdr:row>
      <xdr:rowOff>9525</xdr:rowOff>
    </xdr:to>
    <xdr:sp macro="" textlink="">
      <xdr:nvSpPr>
        <xdr:cNvPr id="2162" name="Rectangle 114">
          <a:extLst>
            <a:ext uri="{FF2B5EF4-FFF2-40B4-BE49-F238E27FC236}">
              <a16:creationId xmlns:a16="http://schemas.microsoft.com/office/drawing/2014/main" id="{C38FAC21-2F85-2E9C-F94A-764EBD9337C7}"/>
            </a:ext>
          </a:extLst>
        </xdr:cNvPr>
        <xdr:cNvSpPr>
          <a:spLocks noChangeArrowheads="1"/>
        </xdr:cNvSpPr>
      </xdr:nvSpPr>
      <xdr:spPr bwMode="auto">
        <a:xfrm>
          <a:off x="3276600" y="381000"/>
          <a:ext cx="4019550" cy="2000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sng" strike="noStrike" baseline="0">
              <a:solidFill>
                <a:srgbClr val="0000FF"/>
              </a:solidFill>
              <a:latin typeface="Arial"/>
              <a:cs typeface="Arial"/>
            </a:rPr>
            <a:t>&lt;&lt;&lt; Encode Date at cell B1:  Format should be:  mm/dd/yyyy </a:t>
          </a:r>
        </a:p>
      </xdr:txBody>
    </xdr:sp>
    <xdr:clientData fPrintsWithSheet="0"/>
  </xdr:twoCellAnchor>
  <xdr:twoCellAnchor>
    <xdr:from>
      <xdr:col>0</xdr:col>
      <xdr:colOff>1528445</xdr:colOff>
      <xdr:row>106</xdr:row>
      <xdr:rowOff>0</xdr:rowOff>
    </xdr:from>
    <xdr:to>
      <xdr:col>0</xdr:col>
      <xdr:colOff>3160166</xdr:colOff>
      <xdr:row>107</xdr:row>
      <xdr:rowOff>0</xdr:rowOff>
    </xdr:to>
    <xdr:sp macro="" textlink="">
      <xdr:nvSpPr>
        <xdr:cNvPr id="2163" name="Rectangle 115">
          <a:extLst>
            <a:ext uri="{FF2B5EF4-FFF2-40B4-BE49-F238E27FC236}">
              <a16:creationId xmlns:a16="http://schemas.microsoft.com/office/drawing/2014/main" id="{ABBB4AAB-2D54-5EA2-5462-612B552D118E}"/>
            </a:ext>
          </a:extLst>
        </xdr:cNvPr>
        <xdr:cNvSpPr>
          <a:spLocks noChangeArrowheads="1"/>
        </xdr:cNvSpPr>
      </xdr:nvSpPr>
      <xdr:spPr bwMode="auto">
        <a:xfrm>
          <a:off x="1504950" y="16868775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3</xdr:col>
      <xdr:colOff>9525</xdr:colOff>
      <xdr:row>0</xdr:row>
      <xdr:rowOff>0</xdr:rowOff>
    </xdr:from>
    <xdr:to>
      <xdr:col>5</xdr:col>
      <xdr:colOff>177809</xdr:colOff>
      <xdr:row>0</xdr:row>
      <xdr:rowOff>162629</xdr:rowOff>
    </xdr:to>
    <xdr:sp macro="" textlink="">
      <xdr:nvSpPr>
        <xdr:cNvPr id="2164" name="Rectangle 116">
          <a:extLst>
            <a:ext uri="{FF2B5EF4-FFF2-40B4-BE49-F238E27FC236}">
              <a16:creationId xmlns:a16="http://schemas.microsoft.com/office/drawing/2014/main" id="{468F365A-BE13-CF3C-7362-6B01FF19953A}"/>
            </a:ext>
          </a:extLst>
        </xdr:cNvPr>
        <xdr:cNvSpPr>
          <a:spLocks noChangeArrowheads="1"/>
        </xdr:cNvSpPr>
      </xdr:nvSpPr>
      <xdr:spPr bwMode="auto">
        <a:xfrm>
          <a:off x="5381625" y="0"/>
          <a:ext cx="2171700" cy="18097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sng" strike="noStrike" baseline="0">
              <a:solidFill>
                <a:srgbClr val="0000FF"/>
              </a:solidFill>
              <a:latin typeface="Arial"/>
              <a:cs typeface="Arial"/>
            </a:rPr>
            <a:t>&lt;&lt;&lt; Encode Name of Broker at Cell A1</a:t>
          </a:r>
        </a:p>
      </xdr:txBody>
    </xdr:sp>
    <xdr:clientData fPrintsWithSheet="0"/>
  </xdr:twoCellAnchor>
  <xdr:twoCellAnchor>
    <xdr:from>
      <xdr:col>0</xdr:col>
      <xdr:colOff>1467485</xdr:colOff>
      <xdr:row>83</xdr:row>
      <xdr:rowOff>1270</xdr:rowOff>
    </xdr:from>
    <xdr:to>
      <xdr:col>0</xdr:col>
      <xdr:colOff>3006466</xdr:colOff>
      <xdr:row>83</xdr:row>
      <xdr:rowOff>119905</xdr:rowOff>
    </xdr:to>
    <xdr:sp macro="" textlink="">
      <xdr:nvSpPr>
        <xdr:cNvPr id="2165" name="Text Box 117">
          <a:extLst>
            <a:ext uri="{FF2B5EF4-FFF2-40B4-BE49-F238E27FC236}">
              <a16:creationId xmlns:a16="http://schemas.microsoft.com/office/drawing/2014/main" id="{DAB2C1A2-60F2-830B-FD91-08595D62D51B}"/>
            </a:ext>
          </a:extLst>
        </xdr:cNvPr>
        <xdr:cNvSpPr txBox="1">
          <a:spLocks noChangeArrowheads="1"/>
        </xdr:cNvSpPr>
      </xdr:nvSpPr>
      <xdr:spPr bwMode="auto">
        <a:xfrm>
          <a:off x="1419225" y="13192125"/>
          <a:ext cx="151447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(with supporting schedule)</a:t>
          </a:r>
        </a:p>
      </xdr:txBody>
    </xdr:sp>
    <xdr:clientData/>
  </xdr:twoCellAnchor>
  <xdr:twoCellAnchor>
    <xdr:from>
      <xdr:col>0</xdr:col>
      <xdr:colOff>1921510</xdr:colOff>
      <xdr:row>136</xdr:row>
      <xdr:rowOff>3175</xdr:rowOff>
    </xdr:from>
    <xdr:to>
      <xdr:col>1</xdr:col>
      <xdr:colOff>82158</xdr:colOff>
      <xdr:row>137</xdr:row>
      <xdr:rowOff>138</xdr:rowOff>
    </xdr:to>
    <xdr:sp macro="" textlink="">
      <xdr:nvSpPr>
        <xdr:cNvPr id="2166" name="Rectangle 118">
          <a:extLst>
            <a:ext uri="{FF2B5EF4-FFF2-40B4-BE49-F238E27FC236}">
              <a16:creationId xmlns:a16="http://schemas.microsoft.com/office/drawing/2014/main" id="{B545935C-1504-379C-14EC-FFEC80344755}"/>
            </a:ext>
          </a:extLst>
        </xdr:cNvPr>
        <xdr:cNvSpPr>
          <a:spLocks noChangeArrowheads="1"/>
        </xdr:cNvSpPr>
      </xdr:nvSpPr>
      <xdr:spPr bwMode="auto">
        <a:xfrm>
          <a:off x="1866900" y="21555075"/>
          <a:ext cx="1428750" cy="152400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 )</a:t>
          </a:r>
        </a:p>
      </xdr:txBody>
    </xdr:sp>
    <xdr:clientData fPrintsWithSheet="0"/>
  </xdr:twoCellAnchor>
  <xdr:twoCellAnchor>
    <xdr:from>
      <xdr:col>0</xdr:col>
      <xdr:colOff>1921510</xdr:colOff>
      <xdr:row>137</xdr:row>
      <xdr:rowOff>3175</xdr:rowOff>
    </xdr:from>
    <xdr:to>
      <xdr:col>1</xdr:col>
      <xdr:colOff>82158</xdr:colOff>
      <xdr:row>138</xdr:row>
      <xdr:rowOff>138</xdr:rowOff>
    </xdr:to>
    <xdr:sp macro="" textlink="">
      <xdr:nvSpPr>
        <xdr:cNvPr id="2169" name="Rectangle 121">
          <a:extLst>
            <a:ext uri="{FF2B5EF4-FFF2-40B4-BE49-F238E27FC236}">
              <a16:creationId xmlns:a16="http://schemas.microsoft.com/office/drawing/2014/main" id="{767BB8F0-8485-EE96-7994-CEEFB1CE11B0}"/>
            </a:ext>
          </a:extLst>
        </xdr:cNvPr>
        <xdr:cNvSpPr>
          <a:spLocks noChangeArrowheads="1"/>
        </xdr:cNvSpPr>
      </xdr:nvSpPr>
      <xdr:spPr bwMode="auto">
        <a:xfrm>
          <a:off x="1866900" y="21717000"/>
          <a:ext cx="1428750" cy="152400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 )</a:t>
          </a:r>
        </a:p>
      </xdr:txBody>
    </xdr:sp>
    <xdr:clientData fPrintsWithSheet="0"/>
  </xdr:twoCellAnchor>
  <xdr:twoCellAnchor>
    <xdr:from>
      <xdr:col>0</xdr:col>
      <xdr:colOff>1921510</xdr:colOff>
      <xdr:row>138</xdr:row>
      <xdr:rowOff>3175</xdr:rowOff>
    </xdr:from>
    <xdr:to>
      <xdr:col>1</xdr:col>
      <xdr:colOff>82158</xdr:colOff>
      <xdr:row>139</xdr:row>
      <xdr:rowOff>138</xdr:rowOff>
    </xdr:to>
    <xdr:sp macro="" textlink="">
      <xdr:nvSpPr>
        <xdr:cNvPr id="2170" name="Rectangle 122">
          <a:extLst>
            <a:ext uri="{FF2B5EF4-FFF2-40B4-BE49-F238E27FC236}">
              <a16:creationId xmlns:a16="http://schemas.microsoft.com/office/drawing/2014/main" id="{A6C6CDA0-DE9A-A34A-03AA-11B9B7FCC2BB}"/>
            </a:ext>
          </a:extLst>
        </xdr:cNvPr>
        <xdr:cNvSpPr>
          <a:spLocks noChangeArrowheads="1"/>
        </xdr:cNvSpPr>
      </xdr:nvSpPr>
      <xdr:spPr bwMode="auto">
        <a:xfrm>
          <a:off x="1866900" y="21878925"/>
          <a:ext cx="1428750" cy="152400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 )</a:t>
          </a:r>
        </a:p>
      </xdr:txBody>
    </xdr:sp>
    <xdr:clientData fPrintsWithSheet="0"/>
  </xdr:twoCellAnchor>
  <xdr:twoCellAnchor>
    <xdr:from>
      <xdr:col>0</xdr:col>
      <xdr:colOff>1635760</xdr:colOff>
      <xdr:row>41</xdr:row>
      <xdr:rowOff>9525</xdr:rowOff>
    </xdr:from>
    <xdr:to>
      <xdr:col>0</xdr:col>
      <xdr:colOff>3217554</xdr:colOff>
      <xdr:row>41</xdr:row>
      <xdr:rowOff>149558</xdr:rowOff>
    </xdr:to>
    <xdr:sp macro="" textlink="">
      <xdr:nvSpPr>
        <xdr:cNvPr id="2177" name="Rectangle 129">
          <a:extLst>
            <a:ext uri="{FF2B5EF4-FFF2-40B4-BE49-F238E27FC236}">
              <a16:creationId xmlns:a16="http://schemas.microsoft.com/office/drawing/2014/main" id="{E5A0738D-80CC-D5B5-F517-A2410A77CF03}"/>
            </a:ext>
          </a:extLst>
        </xdr:cNvPr>
        <xdr:cNvSpPr>
          <a:spLocks noChangeArrowheads="1"/>
        </xdr:cNvSpPr>
      </xdr:nvSpPr>
      <xdr:spPr bwMode="auto">
        <a:xfrm>
          <a:off x="1590675" y="6410325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0</xdr:col>
      <xdr:colOff>1651635</xdr:colOff>
      <xdr:row>42</xdr:row>
      <xdr:rowOff>9525</xdr:rowOff>
    </xdr:from>
    <xdr:to>
      <xdr:col>0</xdr:col>
      <xdr:colOff>3211259</xdr:colOff>
      <xdr:row>42</xdr:row>
      <xdr:rowOff>149558</xdr:rowOff>
    </xdr:to>
    <xdr:sp macro="" textlink="">
      <xdr:nvSpPr>
        <xdr:cNvPr id="2178" name="Rectangle 130">
          <a:extLst>
            <a:ext uri="{FF2B5EF4-FFF2-40B4-BE49-F238E27FC236}">
              <a16:creationId xmlns:a16="http://schemas.microsoft.com/office/drawing/2014/main" id="{4C1B9E5B-1C43-EF35-2422-4D879F7AE432}"/>
            </a:ext>
          </a:extLst>
        </xdr:cNvPr>
        <xdr:cNvSpPr>
          <a:spLocks noChangeArrowheads="1"/>
        </xdr:cNvSpPr>
      </xdr:nvSpPr>
      <xdr:spPr bwMode="auto">
        <a:xfrm>
          <a:off x="1600200" y="6572250"/>
          <a:ext cx="1571625" cy="14287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0</xdr:row>
          <xdr:rowOff>0</xdr:rowOff>
        </xdr:from>
        <xdr:to>
          <xdr:col>0</xdr:col>
          <xdr:colOff>1152525</xdr:colOff>
          <xdr:row>1</xdr:row>
          <xdr:rowOff>19050</xdr:rowOff>
        </xdr:to>
        <xdr:sp macro="" textlink="">
          <xdr:nvSpPr>
            <xdr:cNvPr id="2076" name="Button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70477FCA-3B85-9D77-07C9-908333591F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19050</xdr:rowOff>
        </xdr:from>
        <xdr:to>
          <xdr:col>0</xdr:col>
          <xdr:colOff>1152525</xdr:colOff>
          <xdr:row>2</xdr:row>
          <xdr:rowOff>57150</xdr:rowOff>
        </xdr:to>
        <xdr:sp macro="" textlink="">
          <xdr:nvSpPr>
            <xdr:cNvPr id="2077" name="Button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FF52C408-8310-DAB0-5E22-73F2132B6C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1740535</xdr:colOff>
      <xdr:row>18</xdr:row>
      <xdr:rowOff>9525</xdr:rowOff>
    </xdr:from>
    <xdr:to>
      <xdr:col>1</xdr:col>
      <xdr:colOff>47237</xdr:colOff>
      <xdr:row>18</xdr:row>
      <xdr:rowOff>150520</xdr:rowOff>
    </xdr:to>
    <xdr:sp macro="" textlink="">
      <xdr:nvSpPr>
        <xdr:cNvPr id="2" name="Rectangle 109">
          <a:extLst>
            <a:ext uri="{FF2B5EF4-FFF2-40B4-BE49-F238E27FC236}">
              <a16:creationId xmlns:a16="http://schemas.microsoft.com/office/drawing/2014/main" id="{675989D2-29B1-C1F2-B923-6296DF490008}"/>
            </a:ext>
          </a:extLst>
        </xdr:cNvPr>
        <xdr:cNvSpPr>
          <a:spLocks noChangeArrowheads="1"/>
        </xdr:cNvSpPr>
      </xdr:nvSpPr>
      <xdr:spPr bwMode="auto">
        <a:xfrm>
          <a:off x="1817370" y="2962275"/>
          <a:ext cx="1601869" cy="150395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schedule )</a:t>
          </a:r>
        </a:p>
      </xdr:txBody>
    </xdr:sp>
    <xdr:clientData fPrintsWithSheet="0"/>
  </xdr:twoCellAnchor>
  <xdr:twoCellAnchor>
    <xdr:from>
      <xdr:col>0</xdr:col>
      <xdr:colOff>1700530</xdr:colOff>
      <xdr:row>12</xdr:row>
      <xdr:rowOff>0</xdr:rowOff>
    </xdr:from>
    <xdr:to>
      <xdr:col>1</xdr:col>
      <xdr:colOff>10919</xdr:colOff>
      <xdr:row>12</xdr:row>
      <xdr:rowOff>145649</xdr:rowOff>
    </xdr:to>
    <xdr:sp macro="" textlink="">
      <xdr:nvSpPr>
        <xdr:cNvPr id="3" name="Rectangle 110">
          <a:extLst>
            <a:ext uri="{FF2B5EF4-FFF2-40B4-BE49-F238E27FC236}">
              <a16:creationId xmlns:a16="http://schemas.microsoft.com/office/drawing/2014/main" id="{DF79291F-340D-E144-66E1-278368E6B15F}"/>
            </a:ext>
          </a:extLst>
        </xdr:cNvPr>
        <xdr:cNvSpPr>
          <a:spLocks noChangeArrowheads="1"/>
        </xdr:cNvSpPr>
      </xdr:nvSpPr>
      <xdr:spPr bwMode="auto">
        <a:xfrm>
          <a:off x="1777365" y="1993900"/>
          <a:ext cx="1613391" cy="136663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PH" sz="750" b="1" i="0" u="none" strike="noStrike" baseline="0">
              <a:solidFill>
                <a:srgbClr val="0000FF"/>
              </a:solidFill>
              <a:latin typeface="Arial"/>
              <a:cs typeface="Arial"/>
            </a:rPr>
            <a:t>(With supporting schedule)</a:t>
          </a:r>
        </a:p>
        <a:p>
          <a:pPr algn="ctr" rtl="0">
            <a:defRPr sz="1000"/>
          </a:pPr>
          <a:endParaRPr lang="en-PH" sz="75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PH" sz="75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750" b="1" i="0" u="none" strike="noStrike" baseline="0">
              <a:solidFill>
                <a:srgbClr val="0000FF"/>
              </a:solidFill>
              <a:latin typeface="Arial"/>
              <a:cs typeface="Arial"/>
            </a:rPr>
            <a:t>)</a:t>
          </a:r>
        </a:p>
      </xdr:txBody>
    </xdr:sp>
    <xdr:clientData fPrintsWithSheet="0"/>
  </xdr:twoCellAnchor>
  <xdr:twoCellAnchor>
    <xdr:from>
      <xdr:col>0</xdr:col>
      <xdr:colOff>2036445</xdr:colOff>
      <xdr:row>14</xdr:row>
      <xdr:rowOff>12700</xdr:rowOff>
    </xdr:from>
    <xdr:to>
      <xdr:col>1</xdr:col>
      <xdr:colOff>878</xdr:colOff>
      <xdr:row>15</xdr:row>
      <xdr:rowOff>302</xdr:rowOff>
    </xdr:to>
    <xdr:sp macro="" textlink="">
      <xdr:nvSpPr>
        <xdr:cNvPr id="4" name="Rectangle 111">
          <a:extLst>
            <a:ext uri="{FF2B5EF4-FFF2-40B4-BE49-F238E27FC236}">
              <a16:creationId xmlns:a16="http://schemas.microsoft.com/office/drawing/2014/main" id="{99C1D1C9-6C6C-0241-ABDF-C37F452A554A}"/>
            </a:ext>
          </a:extLst>
        </xdr:cNvPr>
        <xdr:cNvSpPr>
          <a:spLocks noChangeArrowheads="1"/>
        </xdr:cNvSpPr>
      </xdr:nvSpPr>
      <xdr:spPr bwMode="auto">
        <a:xfrm>
          <a:off x="2146935" y="2330450"/>
          <a:ext cx="1225550" cy="139700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n-PH" sz="750" b="1" i="0" u="none" strike="noStrike" baseline="0">
              <a:solidFill>
                <a:srgbClr val="0000FF"/>
              </a:solidFill>
              <a:latin typeface="Arial"/>
              <a:cs typeface="Arial"/>
            </a:rPr>
            <a:t>(With supporting sched)</a:t>
          </a:r>
        </a:p>
      </xdr:txBody>
    </xdr:sp>
    <xdr:clientData fPrintsWithSheet="0"/>
  </xdr:twoCellAnchor>
  <xdr:twoCellAnchor>
    <xdr:from>
      <xdr:col>0</xdr:col>
      <xdr:colOff>1921510</xdr:colOff>
      <xdr:row>136</xdr:row>
      <xdr:rowOff>3175</xdr:rowOff>
    </xdr:from>
    <xdr:to>
      <xdr:col>1</xdr:col>
      <xdr:colOff>82158</xdr:colOff>
      <xdr:row>137</xdr:row>
      <xdr:rowOff>138</xdr:rowOff>
    </xdr:to>
    <xdr:sp macro="" textlink="">
      <xdr:nvSpPr>
        <xdr:cNvPr id="5" name="Rectangle 118">
          <a:extLst>
            <a:ext uri="{FF2B5EF4-FFF2-40B4-BE49-F238E27FC236}">
              <a16:creationId xmlns:a16="http://schemas.microsoft.com/office/drawing/2014/main" id="{B9BB794D-9626-A3E7-81C3-F4E73031767F}"/>
            </a:ext>
          </a:extLst>
        </xdr:cNvPr>
        <xdr:cNvSpPr>
          <a:spLocks noChangeArrowheads="1"/>
        </xdr:cNvSpPr>
      </xdr:nvSpPr>
      <xdr:spPr bwMode="auto">
        <a:xfrm>
          <a:off x="2009140" y="21358225"/>
          <a:ext cx="1445054" cy="155713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 )</a:t>
          </a:r>
        </a:p>
      </xdr:txBody>
    </xdr:sp>
    <xdr:clientData fPrintsWithSheet="0"/>
  </xdr:twoCellAnchor>
  <xdr:twoCellAnchor>
    <xdr:from>
      <xdr:col>0</xdr:col>
      <xdr:colOff>1921510</xdr:colOff>
      <xdr:row>137</xdr:row>
      <xdr:rowOff>3175</xdr:rowOff>
    </xdr:from>
    <xdr:to>
      <xdr:col>1</xdr:col>
      <xdr:colOff>82158</xdr:colOff>
      <xdr:row>138</xdr:row>
      <xdr:rowOff>138</xdr:rowOff>
    </xdr:to>
    <xdr:sp macro="" textlink="">
      <xdr:nvSpPr>
        <xdr:cNvPr id="6" name="Rectangle 121">
          <a:extLst>
            <a:ext uri="{FF2B5EF4-FFF2-40B4-BE49-F238E27FC236}">
              <a16:creationId xmlns:a16="http://schemas.microsoft.com/office/drawing/2014/main" id="{13BB0BAB-E86E-A90E-DDD4-D050E26C68C0}"/>
            </a:ext>
          </a:extLst>
        </xdr:cNvPr>
        <xdr:cNvSpPr>
          <a:spLocks noChangeArrowheads="1"/>
        </xdr:cNvSpPr>
      </xdr:nvSpPr>
      <xdr:spPr bwMode="auto">
        <a:xfrm>
          <a:off x="2009140" y="21516975"/>
          <a:ext cx="1445054" cy="155713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 )</a:t>
          </a:r>
        </a:p>
      </xdr:txBody>
    </xdr:sp>
    <xdr:clientData fPrintsWithSheet="0"/>
  </xdr:twoCellAnchor>
  <xdr:twoCellAnchor>
    <xdr:from>
      <xdr:col>0</xdr:col>
      <xdr:colOff>1921510</xdr:colOff>
      <xdr:row>138</xdr:row>
      <xdr:rowOff>3175</xdr:rowOff>
    </xdr:from>
    <xdr:to>
      <xdr:col>1</xdr:col>
      <xdr:colOff>82158</xdr:colOff>
      <xdr:row>139</xdr:row>
      <xdr:rowOff>138</xdr:rowOff>
    </xdr:to>
    <xdr:sp macro="" textlink="">
      <xdr:nvSpPr>
        <xdr:cNvPr id="7" name="Rectangle 122">
          <a:extLst>
            <a:ext uri="{FF2B5EF4-FFF2-40B4-BE49-F238E27FC236}">
              <a16:creationId xmlns:a16="http://schemas.microsoft.com/office/drawing/2014/main" id="{E38C2560-B2F0-5C05-A477-12964A144215}"/>
            </a:ext>
          </a:extLst>
        </xdr:cNvPr>
        <xdr:cNvSpPr>
          <a:spLocks noChangeArrowheads="1"/>
        </xdr:cNvSpPr>
      </xdr:nvSpPr>
      <xdr:spPr bwMode="auto">
        <a:xfrm>
          <a:off x="2009140" y="21675725"/>
          <a:ext cx="1445054" cy="155713"/>
        </a:xfrm>
        <a:prstGeom prst="rect">
          <a:avLst/>
        </a:prstGeom>
        <a:solidFill>
          <a:srgbClr val="FFFF99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( With supporting sched )</a:t>
          </a:r>
        </a:p>
      </xdr:txBody>
    </xdr:sp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</xdr:colOff>
      <xdr:row>2</xdr:row>
      <xdr:rowOff>168275</xdr:rowOff>
    </xdr:from>
    <xdr:to>
      <xdr:col>12</xdr:col>
      <xdr:colOff>323813</xdr:colOff>
      <xdr:row>5</xdr:row>
      <xdr:rowOff>38206</xdr:rowOff>
    </xdr:to>
    <xdr:sp macro="" textlink="">
      <xdr:nvSpPr>
        <xdr:cNvPr id="6160" name="AutoShape 16">
          <a:extLst>
            <a:ext uri="{FF2B5EF4-FFF2-40B4-BE49-F238E27FC236}">
              <a16:creationId xmlns:a16="http://schemas.microsoft.com/office/drawing/2014/main" id="{94C33748-479F-5270-B309-18B524F54C0B}"/>
            </a:ext>
          </a:extLst>
        </xdr:cNvPr>
        <xdr:cNvSpPr>
          <a:spLocks noChangeArrowheads="1"/>
        </xdr:cNvSpPr>
      </xdr:nvSpPr>
      <xdr:spPr bwMode="auto">
        <a:xfrm>
          <a:off x="7229475" y="581025"/>
          <a:ext cx="1762125" cy="381000"/>
        </a:xfrm>
        <a:prstGeom prst="wedgeRoundRectCallout">
          <a:avLst>
            <a:gd name="adj1" fmla="val 52116"/>
            <a:gd name="adj2" fmla="val 92500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r>
            <a:rPr lang="en-P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Just click on drop down button to make selection.</a:t>
          </a:r>
        </a:p>
      </xdr:txBody>
    </xdr:sp>
    <xdr:clientData fPrintsWithSheet="0"/>
  </xdr:twoCellAnchor>
  <xdr:twoCellAnchor>
    <xdr:from>
      <xdr:col>3</xdr:col>
      <xdr:colOff>48260</xdr:colOff>
      <xdr:row>1</xdr:row>
      <xdr:rowOff>130175</xdr:rowOff>
    </xdr:from>
    <xdr:to>
      <xdr:col>5</xdr:col>
      <xdr:colOff>608241</xdr:colOff>
      <xdr:row>3</xdr:row>
      <xdr:rowOff>111868</xdr:rowOff>
    </xdr:to>
    <xdr:sp macro="" textlink="">
      <xdr:nvSpPr>
        <xdr:cNvPr id="6245" name="AutoShape 101">
          <a:extLst>
            <a:ext uri="{FF2B5EF4-FFF2-40B4-BE49-F238E27FC236}">
              <a16:creationId xmlns:a16="http://schemas.microsoft.com/office/drawing/2014/main" id="{C75F6F1B-1EF4-1E5D-614B-8355C0EDAFDF}"/>
            </a:ext>
          </a:extLst>
        </xdr:cNvPr>
        <xdr:cNvSpPr>
          <a:spLocks noChangeArrowheads="1"/>
        </xdr:cNvSpPr>
      </xdr:nvSpPr>
      <xdr:spPr bwMode="auto">
        <a:xfrm>
          <a:off x="1685925" y="342900"/>
          <a:ext cx="1543050" cy="361950"/>
        </a:xfrm>
        <a:prstGeom prst="wedgeRoundRectCallout">
          <a:avLst>
            <a:gd name="adj1" fmla="val 38889"/>
            <a:gd name="adj2" fmla="val 118421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r>
            <a:rPr lang="en-P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Just click on drop down button to make selection.</a:t>
          </a:r>
        </a:p>
      </xdr:txBody>
    </xdr:sp>
    <xdr:clientData fPrintsWithSheet="0"/>
  </xdr:twoCellAnchor>
  <xdr:twoCellAnchor>
    <xdr:from>
      <xdr:col>8</xdr:col>
      <xdr:colOff>104775</xdr:colOff>
      <xdr:row>6</xdr:row>
      <xdr:rowOff>0</xdr:rowOff>
    </xdr:from>
    <xdr:to>
      <xdr:col>9</xdr:col>
      <xdr:colOff>805062</xdr:colOff>
      <xdr:row>8</xdr:row>
      <xdr:rowOff>149852</xdr:rowOff>
    </xdr:to>
    <xdr:sp macro="" textlink="">
      <xdr:nvSpPr>
        <xdr:cNvPr id="6265" name="Rectangle 121">
          <a:extLst>
            <a:ext uri="{FF2B5EF4-FFF2-40B4-BE49-F238E27FC236}">
              <a16:creationId xmlns:a16="http://schemas.microsoft.com/office/drawing/2014/main" id="{B06247AE-97C4-E50D-876B-29B226175235}"/>
            </a:ext>
          </a:extLst>
        </xdr:cNvPr>
        <xdr:cNvSpPr>
          <a:spLocks noChangeArrowheads="1"/>
        </xdr:cNvSpPr>
      </xdr:nvSpPr>
      <xdr:spPr bwMode="auto">
        <a:xfrm>
          <a:off x="5638800" y="1085850"/>
          <a:ext cx="1524000" cy="4667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Applicable only where old loan is renewed.</a:t>
          </a:r>
          <a:endParaRPr lang="en-PH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PH" sz="900" b="1" i="0" u="none" strike="noStrike" baseline="0">
              <a:solidFill>
                <a:srgbClr val="0000FF"/>
              </a:solidFill>
              <a:latin typeface="Arial"/>
              <a:cs typeface="Arial"/>
            </a:rPr>
            <a:t>Format: mm/dd/yyyy </a:t>
          </a:r>
        </a:p>
      </xdr:txBody>
    </xdr:sp>
    <xdr:clientData fPrintsWithSheet="0"/>
  </xdr:twoCellAnchor>
  <xdr:twoCellAnchor>
    <xdr:from>
      <xdr:col>2</xdr:col>
      <xdr:colOff>38100</xdr:colOff>
      <xdr:row>7</xdr:row>
      <xdr:rowOff>102235</xdr:rowOff>
    </xdr:from>
    <xdr:to>
      <xdr:col>3</xdr:col>
      <xdr:colOff>649422</xdr:colOff>
      <xdr:row>8</xdr:row>
      <xdr:rowOff>132150</xdr:rowOff>
    </xdr:to>
    <xdr:sp macro="" textlink="">
      <xdr:nvSpPr>
        <xdr:cNvPr id="6274" name="Rectangle 130">
          <a:extLst>
            <a:ext uri="{FF2B5EF4-FFF2-40B4-BE49-F238E27FC236}">
              <a16:creationId xmlns:a16="http://schemas.microsoft.com/office/drawing/2014/main" id="{96C40F86-D735-182D-0702-9075DD3B0665}"/>
            </a:ext>
          </a:extLst>
        </xdr:cNvPr>
        <xdr:cNvSpPr>
          <a:spLocks noChangeArrowheads="1"/>
        </xdr:cNvSpPr>
      </xdr:nvSpPr>
      <xdr:spPr bwMode="auto">
        <a:xfrm>
          <a:off x="1000125" y="1343025"/>
          <a:ext cx="1266825" cy="1905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none" strike="noStrike" baseline="0">
              <a:solidFill>
                <a:srgbClr val="0000FF"/>
              </a:solidFill>
              <a:latin typeface="Arial"/>
              <a:cs typeface="Arial"/>
            </a:rPr>
            <a:t>Format: mm/dd/yyyy 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0</xdr:rowOff>
        </xdr:from>
        <xdr:to>
          <xdr:col>2</xdr:col>
          <xdr:colOff>161925</xdr:colOff>
          <xdr:row>1</xdr:row>
          <xdr:rowOff>19050</xdr:rowOff>
        </xdr:to>
        <xdr:sp macro="" textlink="">
          <xdr:nvSpPr>
            <xdr:cNvPr id="6175" name="Button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47262F32-B719-6081-5112-6C526F8E4D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2</xdr:col>
          <xdr:colOff>161925</xdr:colOff>
          <xdr:row>2</xdr:row>
          <xdr:rowOff>38100</xdr:rowOff>
        </xdr:to>
        <xdr:sp macro="" textlink="">
          <xdr:nvSpPr>
            <xdr:cNvPr id="6177" name="Button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AA7CB81C-EC0F-FDFD-A1CA-C4EAF14AFA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6</xdr:col>
          <xdr:colOff>0</xdr:colOff>
          <xdr:row>10</xdr:row>
          <xdr:rowOff>19050</xdr:rowOff>
        </xdr:to>
        <xdr:sp macro="" textlink="">
          <xdr:nvSpPr>
            <xdr:cNvPr id="6180" name="Drop Down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AB6B6EE8-3E0A-C77A-4722-972E1769E8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6</xdr:col>
          <xdr:colOff>0</xdr:colOff>
          <xdr:row>11</xdr:row>
          <xdr:rowOff>19050</xdr:rowOff>
        </xdr:to>
        <xdr:sp macro="" textlink="">
          <xdr:nvSpPr>
            <xdr:cNvPr id="6206" name="Drop Down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390051E4-0C61-F616-7C26-1545376F1C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0</xdr:colOff>
          <xdr:row>12</xdr:row>
          <xdr:rowOff>19050</xdr:rowOff>
        </xdr:to>
        <xdr:sp macro="" textlink="">
          <xdr:nvSpPr>
            <xdr:cNvPr id="6207" name="Drop Down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1724428B-938F-227E-877C-F496BAB1B8F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171450</xdr:rowOff>
        </xdr:from>
        <xdr:to>
          <xdr:col>6</xdr:col>
          <xdr:colOff>0</xdr:colOff>
          <xdr:row>13</xdr:row>
          <xdr:rowOff>0</xdr:rowOff>
        </xdr:to>
        <xdr:sp macro="" textlink="">
          <xdr:nvSpPr>
            <xdr:cNvPr id="6208" name="Drop Down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4C933E3A-DA58-0890-35D5-FCF10C352A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0</xdr:colOff>
          <xdr:row>14</xdr:row>
          <xdr:rowOff>19050</xdr:rowOff>
        </xdr:to>
        <xdr:sp macro="" textlink="">
          <xdr:nvSpPr>
            <xdr:cNvPr id="6209" name="Drop Down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52F63689-1B15-5FB1-F8CD-C061A9FE458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0</xdr:colOff>
          <xdr:row>15</xdr:row>
          <xdr:rowOff>19050</xdr:rowOff>
        </xdr:to>
        <xdr:sp macro="" textlink="">
          <xdr:nvSpPr>
            <xdr:cNvPr id="6210" name="Drop Down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A07018D6-C281-D44B-85EF-C82AB25253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0</xdr:rowOff>
        </xdr:from>
        <xdr:to>
          <xdr:col>6</xdr:col>
          <xdr:colOff>0</xdr:colOff>
          <xdr:row>16</xdr:row>
          <xdr:rowOff>19050</xdr:rowOff>
        </xdr:to>
        <xdr:sp macro="" textlink="">
          <xdr:nvSpPr>
            <xdr:cNvPr id="6211" name="Drop Down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46DC353D-6342-BA1E-7693-065BFE10BD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6</xdr:col>
          <xdr:colOff>0</xdr:colOff>
          <xdr:row>17</xdr:row>
          <xdr:rowOff>19050</xdr:rowOff>
        </xdr:to>
        <xdr:sp macro="" textlink="">
          <xdr:nvSpPr>
            <xdr:cNvPr id="6212" name="Drop Down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5FB58DE8-7BBF-79F2-9E5E-E981594036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6213" name="Drop Down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721892BE-017A-2803-6953-68C756D4E8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0</xdr:rowOff>
        </xdr:from>
        <xdr:to>
          <xdr:col>6</xdr:col>
          <xdr:colOff>0</xdr:colOff>
          <xdr:row>19</xdr:row>
          <xdr:rowOff>19050</xdr:rowOff>
        </xdr:to>
        <xdr:sp macro="" textlink="">
          <xdr:nvSpPr>
            <xdr:cNvPr id="6214" name="Drop Down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BCB344A8-0F08-A86B-8646-CA580941F5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0</xdr:rowOff>
        </xdr:from>
        <xdr:to>
          <xdr:col>6</xdr:col>
          <xdr:colOff>0</xdr:colOff>
          <xdr:row>20</xdr:row>
          <xdr:rowOff>19050</xdr:rowOff>
        </xdr:to>
        <xdr:sp macro="" textlink="">
          <xdr:nvSpPr>
            <xdr:cNvPr id="6215" name="Drop Down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9DF3AE27-3587-B94A-E0C9-8D6742032A5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0</xdr:rowOff>
        </xdr:from>
        <xdr:to>
          <xdr:col>6</xdr:col>
          <xdr:colOff>0</xdr:colOff>
          <xdr:row>21</xdr:row>
          <xdr:rowOff>19050</xdr:rowOff>
        </xdr:to>
        <xdr:sp macro="" textlink="">
          <xdr:nvSpPr>
            <xdr:cNvPr id="6216" name="Drop Down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B9D8010A-DEC5-F09F-52B6-D36607F614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0</xdr:rowOff>
        </xdr:from>
        <xdr:to>
          <xdr:col>6</xdr:col>
          <xdr:colOff>0</xdr:colOff>
          <xdr:row>22</xdr:row>
          <xdr:rowOff>19050</xdr:rowOff>
        </xdr:to>
        <xdr:sp macro="" textlink="">
          <xdr:nvSpPr>
            <xdr:cNvPr id="6217" name="Drop Down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13F8ADEC-9D13-B11D-CC92-6019A28CDFA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0</xdr:rowOff>
        </xdr:from>
        <xdr:to>
          <xdr:col>6</xdr:col>
          <xdr:colOff>0</xdr:colOff>
          <xdr:row>23</xdr:row>
          <xdr:rowOff>19050</xdr:rowOff>
        </xdr:to>
        <xdr:sp macro="" textlink="">
          <xdr:nvSpPr>
            <xdr:cNvPr id="6218" name="Drop Down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51D6F170-9DDE-6DBB-6B3A-F5E10C7883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171450</xdr:rowOff>
        </xdr:from>
        <xdr:to>
          <xdr:col>6</xdr:col>
          <xdr:colOff>0</xdr:colOff>
          <xdr:row>24</xdr:row>
          <xdr:rowOff>0</xdr:rowOff>
        </xdr:to>
        <xdr:sp macro="" textlink="">
          <xdr:nvSpPr>
            <xdr:cNvPr id="6219" name="Drop Down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F5ACACE1-4A30-9CE0-6E38-BCA37470C3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19050</xdr:colOff>
          <xdr:row>10</xdr:row>
          <xdr:rowOff>19050</xdr:rowOff>
        </xdr:to>
        <xdr:sp macro="" textlink="">
          <xdr:nvSpPr>
            <xdr:cNvPr id="6220" name="Drop Down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E17390C5-6C3B-D180-36BD-98C9FD1F7A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13</xdr:col>
          <xdr:colOff>19050</xdr:colOff>
          <xdr:row>11</xdr:row>
          <xdr:rowOff>19050</xdr:rowOff>
        </xdr:to>
        <xdr:sp macro="" textlink="">
          <xdr:nvSpPr>
            <xdr:cNvPr id="6221" name="Drop Down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40D88086-96A7-E8DD-D586-732413A050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13</xdr:col>
          <xdr:colOff>19050</xdr:colOff>
          <xdr:row>12</xdr:row>
          <xdr:rowOff>19050</xdr:rowOff>
        </xdr:to>
        <xdr:sp macro="" textlink="">
          <xdr:nvSpPr>
            <xdr:cNvPr id="6222" name="Drop Down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5DD1B29-29B6-0D32-EAEF-DF600D48F5C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13</xdr:col>
          <xdr:colOff>19050</xdr:colOff>
          <xdr:row>13</xdr:row>
          <xdr:rowOff>19050</xdr:rowOff>
        </xdr:to>
        <xdr:sp macro="" textlink="">
          <xdr:nvSpPr>
            <xdr:cNvPr id="6223" name="Drop Down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FB426421-3A90-CA7D-495A-60DE52B60B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0</xdr:rowOff>
        </xdr:from>
        <xdr:to>
          <xdr:col>13</xdr:col>
          <xdr:colOff>19050</xdr:colOff>
          <xdr:row>14</xdr:row>
          <xdr:rowOff>19050</xdr:rowOff>
        </xdr:to>
        <xdr:sp macro="" textlink="">
          <xdr:nvSpPr>
            <xdr:cNvPr id="6224" name="Drop Down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382CFFDE-0B9F-C91B-6312-9C71448BBF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0</xdr:rowOff>
        </xdr:from>
        <xdr:to>
          <xdr:col>13</xdr:col>
          <xdr:colOff>19050</xdr:colOff>
          <xdr:row>15</xdr:row>
          <xdr:rowOff>19050</xdr:rowOff>
        </xdr:to>
        <xdr:sp macro="" textlink="">
          <xdr:nvSpPr>
            <xdr:cNvPr id="6225" name="Drop Down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D793F507-6B0E-CD88-C514-BF9652152D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13</xdr:col>
          <xdr:colOff>19050</xdr:colOff>
          <xdr:row>16</xdr:row>
          <xdr:rowOff>19050</xdr:rowOff>
        </xdr:to>
        <xdr:sp macro="" textlink="">
          <xdr:nvSpPr>
            <xdr:cNvPr id="6226" name="Drop Down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289CB3FD-1963-491E-46CD-FA0CFEAB00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0</xdr:rowOff>
        </xdr:from>
        <xdr:to>
          <xdr:col>13</xdr:col>
          <xdr:colOff>19050</xdr:colOff>
          <xdr:row>17</xdr:row>
          <xdr:rowOff>19050</xdr:rowOff>
        </xdr:to>
        <xdr:sp macro="" textlink="">
          <xdr:nvSpPr>
            <xdr:cNvPr id="6227" name="Drop Down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A77C694F-F545-66DA-0B9D-9C6013A811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0</xdr:rowOff>
        </xdr:from>
        <xdr:to>
          <xdr:col>13</xdr:col>
          <xdr:colOff>19050</xdr:colOff>
          <xdr:row>18</xdr:row>
          <xdr:rowOff>19050</xdr:rowOff>
        </xdr:to>
        <xdr:sp macro="" textlink="">
          <xdr:nvSpPr>
            <xdr:cNvPr id="6228" name="Drop Down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7EB0F3B8-E05B-CC53-F201-65C1043104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0</xdr:rowOff>
        </xdr:from>
        <xdr:to>
          <xdr:col>13</xdr:col>
          <xdr:colOff>19050</xdr:colOff>
          <xdr:row>19</xdr:row>
          <xdr:rowOff>19050</xdr:rowOff>
        </xdr:to>
        <xdr:sp macro="" textlink="">
          <xdr:nvSpPr>
            <xdr:cNvPr id="6229" name="Drop Down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4425E385-F6B0-9318-321A-011B2F1528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0</xdr:rowOff>
        </xdr:from>
        <xdr:to>
          <xdr:col>13</xdr:col>
          <xdr:colOff>19050</xdr:colOff>
          <xdr:row>20</xdr:row>
          <xdr:rowOff>19050</xdr:rowOff>
        </xdr:to>
        <xdr:sp macro="" textlink="">
          <xdr:nvSpPr>
            <xdr:cNvPr id="6230" name="Drop Down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A315D0A1-CD28-74C2-7277-3D5B4F120F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0</xdr:rowOff>
        </xdr:from>
        <xdr:to>
          <xdr:col>13</xdr:col>
          <xdr:colOff>19050</xdr:colOff>
          <xdr:row>21</xdr:row>
          <xdr:rowOff>19050</xdr:rowOff>
        </xdr:to>
        <xdr:sp macro="" textlink="">
          <xdr:nvSpPr>
            <xdr:cNvPr id="6231" name="Drop Down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CE9B43DE-93BB-C319-F370-F5B09B6C4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0</xdr:rowOff>
        </xdr:from>
        <xdr:to>
          <xdr:col>13</xdr:col>
          <xdr:colOff>19050</xdr:colOff>
          <xdr:row>22</xdr:row>
          <xdr:rowOff>19050</xdr:rowOff>
        </xdr:to>
        <xdr:sp macro="" textlink="">
          <xdr:nvSpPr>
            <xdr:cNvPr id="6232" name="Drop Down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C433C45D-5BEA-823F-B229-508C3A0389B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0</xdr:rowOff>
        </xdr:from>
        <xdr:to>
          <xdr:col>13</xdr:col>
          <xdr:colOff>19050</xdr:colOff>
          <xdr:row>23</xdr:row>
          <xdr:rowOff>19050</xdr:rowOff>
        </xdr:to>
        <xdr:sp macro="" textlink="">
          <xdr:nvSpPr>
            <xdr:cNvPr id="6233" name="Drop Down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D7979C51-5D40-42B9-00BB-0C0923A584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23</xdr:row>
          <xdr:rowOff>0</xdr:rowOff>
        </xdr:from>
        <xdr:to>
          <xdr:col>13</xdr:col>
          <xdr:colOff>19050</xdr:colOff>
          <xdr:row>24</xdr:row>
          <xdr:rowOff>9525</xdr:rowOff>
        </xdr:to>
        <xdr:sp macro="" textlink="">
          <xdr:nvSpPr>
            <xdr:cNvPr id="6234" name="Drop Down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D657791-4EEB-B671-22A9-1BF95B6C971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0</xdr:row>
      <xdr:rowOff>0</xdr:rowOff>
    </xdr:from>
    <xdr:to>
      <xdr:col>7</xdr:col>
      <xdr:colOff>600075</xdr:colOff>
      <xdr:row>2</xdr:row>
      <xdr:rowOff>144177</xdr:rowOff>
    </xdr:to>
    <xdr:sp macro="" textlink="">
      <xdr:nvSpPr>
        <xdr:cNvPr id="8212" name="Rectangle 20">
          <a:extLst>
            <a:ext uri="{FF2B5EF4-FFF2-40B4-BE49-F238E27FC236}">
              <a16:creationId xmlns:a16="http://schemas.microsoft.com/office/drawing/2014/main" id="{B4A9D39B-5C00-BFCF-0345-386B190D1B93}"/>
            </a:ext>
          </a:extLst>
        </xdr:cNvPr>
        <xdr:cNvSpPr>
          <a:spLocks noChangeArrowheads="1"/>
        </xdr:cNvSpPr>
      </xdr:nvSpPr>
      <xdr:spPr bwMode="auto">
        <a:xfrm>
          <a:off x="4476750" y="0"/>
          <a:ext cx="1685925" cy="4667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</a:t>
          </a:r>
        </a:p>
        <a:p>
          <a:pPr algn="l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This worksheet is protected.  Pls don’t make any alteration.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0</xdr:row>
          <xdr:rowOff>0</xdr:rowOff>
        </xdr:from>
        <xdr:to>
          <xdr:col>0</xdr:col>
          <xdr:colOff>1143000</xdr:colOff>
          <xdr:row>1</xdr:row>
          <xdr:rowOff>57150</xdr:rowOff>
        </xdr:to>
        <xdr:sp macro="" textlink="">
          <xdr:nvSpPr>
            <xdr:cNvPr id="8210" name="Button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F64DA0AA-A02B-329D-F5C7-6CF69CB56B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57150</xdr:rowOff>
        </xdr:from>
        <xdr:to>
          <xdr:col>0</xdr:col>
          <xdr:colOff>1143000</xdr:colOff>
          <xdr:row>2</xdr:row>
          <xdr:rowOff>123825</xdr:rowOff>
        </xdr:to>
        <xdr:sp macro="" textlink="">
          <xdr:nvSpPr>
            <xdr:cNvPr id="8211" name="Button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750DFB6F-BF77-3A67-368A-1B3DE3BA0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81280</xdr:colOff>
      <xdr:row>107</xdr:row>
      <xdr:rowOff>19050</xdr:rowOff>
    </xdr:from>
    <xdr:to>
      <xdr:col>10</xdr:col>
      <xdr:colOff>18</xdr:colOff>
      <xdr:row>110</xdr:row>
      <xdr:rowOff>66675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D869E1F1-B8DC-687F-9205-24DBE6174AE2}"/>
            </a:ext>
          </a:extLst>
        </xdr:cNvPr>
        <xdr:cNvSpPr>
          <a:spLocks noChangeArrowheads="1"/>
        </xdr:cNvSpPr>
      </xdr:nvSpPr>
      <xdr:spPr bwMode="auto">
        <a:xfrm>
          <a:off x="5210175" y="17487900"/>
          <a:ext cx="1038225" cy="533400"/>
        </a:xfrm>
        <a:prstGeom prst="wedgeRoundRectCallout">
          <a:avLst>
            <a:gd name="adj1" fmla="val -54588"/>
            <a:gd name="adj2" fmla="val 58931"/>
            <a:gd name="adj3" fmla="val 16667"/>
          </a:avLst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in data in highlighted cells.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3</xdr:col>
          <xdr:colOff>333375</xdr:colOff>
          <xdr:row>1</xdr:row>
          <xdr:rowOff>57150</xdr:rowOff>
        </xdr:to>
        <xdr:sp macro="" textlink="">
          <xdr:nvSpPr>
            <xdr:cNvPr id="3079" name="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DBDDFE33-8066-25D1-B957-3975443DE8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3</xdr:col>
          <xdr:colOff>333375</xdr:colOff>
          <xdr:row>2</xdr:row>
          <xdr:rowOff>123825</xdr:rowOff>
        </xdr:to>
        <xdr:sp macro="" textlink="">
          <xdr:nvSpPr>
            <xdr:cNvPr id="3080" name="Button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255B0A3-C7FB-76EA-BF5F-78E9A1E6B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1062355</xdr:colOff>
      <xdr:row>0</xdr:row>
      <xdr:rowOff>151130</xdr:rowOff>
    </xdr:from>
    <xdr:to>
      <xdr:col>10</xdr:col>
      <xdr:colOff>148142</xdr:colOff>
      <xdr:row>3</xdr:row>
      <xdr:rowOff>151130</xdr:rowOff>
    </xdr:to>
    <xdr:sp macro="" textlink="">
      <xdr:nvSpPr>
        <xdr:cNvPr id="7173" name="AutoShape 5">
          <a:extLst>
            <a:ext uri="{FF2B5EF4-FFF2-40B4-BE49-F238E27FC236}">
              <a16:creationId xmlns:a16="http://schemas.microsoft.com/office/drawing/2014/main" id="{D0B08B67-9577-37D5-9B1A-A7059AF06E9B}"/>
            </a:ext>
          </a:extLst>
        </xdr:cNvPr>
        <xdr:cNvSpPr>
          <a:spLocks noChangeArrowheads="1"/>
        </xdr:cNvSpPr>
      </xdr:nvSpPr>
      <xdr:spPr bwMode="auto">
        <a:xfrm>
          <a:off x="6953250" y="161925"/>
          <a:ext cx="1409700" cy="571500"/>
        </a:xfrm>
        <a:prstGeom prst="wedgeRoundRectCallout">
          <a:avLst>
            <a:gd name="adj1" fmla="val -45944"/>
            <a:gd name="adj2" fmla="val 76667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 fPrintsWithSheet="0"/>
  </xdr:twoCellAnchor>
  <xdr:twoCellAnchor>
    <xdr:from>
      <xdr:col>7</xdr:col>
      <xdr:colOff>1069975</xdr:colOff>
      <xdr:row>0</xdr:row>
      <xdr:rowOff>121285</xdr:rowOff>
    </xdr:from>
    <xdr:to>
      <xdr:col>10</xdr:col>
      <xdr:colOff>303469</xdr:colOff>
      <xdr:row>3</xdr:row>
      <xdr:rowOff>132768</xdr:rowOff>
    </xdr:to>
    <xdr:sp macro="" textlink="">
      <xdr:nvSpPr>
        <xdr:cNvPr id="7174" name="AutoShape 6">
          <a:extLst>
            <a:ext uri="{FF2B5EF4-FFF2-40B4-BE49-F238E27FC236}">
              <a16:creationId xmlns:a16="http://schemas.microsoft.com/office/drawing/2014/main" id="{3D864E0D-97AE-7CB7-810D-B74B46FC2A86}"/>
            </a:ext>
          </a:extLst>
        </xdr:cNvPr>
        <xdr:cNvSpPr>
          <a:spLocks noChangeArrowheads="1"/>
        </xdr:cNvSpPr>
      </xdr:nvSpPr>
      <xdr:spPr bwMode="auto">
        <a:xfrm>
          <a:off x="6943725" y="133350"/>
          <a:ext cx="1562100" cy="590550"/>
        </a:xfrm>
        <a:prstGeom prst="wedgeRoundRectCallout">
          <a:avLst>
            <a:gd name="adj1" fmla="val -45120"/>
            <a:gd name="adj2" fmla="val 104838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Provide details of computation below Row B16.</a:t>
          </a:r>
        </a:p>
      </xdr:txBody>
    </xdr:sp>
    <xdr:clientData fPrintsWithSheet="0"/>
  </xdr:twoCellAnchor>
  <xdr:twoCellAnchor>
    <xdr:from>
      <xdr:col>1</xdr:col>
      <xdr:colOff>47625</xdr:colOff>
      <xdr:row>4</xdr:row>
      <xdr:rowOff>251460</xdr:rowOff>
    </xdr:from>
    <xdr:to>
      <xdr:col>1</xdr:col>
      <xdr:colOff>1570834</xdr:colOff>
      <xdr:row>9</xdr:row>
      <xdr:rowOff>85039</xdr:rowOff>
    </xdr:to>
    <xdr:sp macro="" textlink="">
      <xdr:nvSpPr>
        <xdr:cNvPr id="7176" name="AutoShape 8">
          <a:extLst>
            <a:ext uri="{FF2B5EF4-FFF2-40B4-BE49-F238E27FC236}">
              <a16:creationId xmlns:a16="http://schemas.microsoft.com/office/drawing/2014/main" id="{2EE9B65B-0180-B843-D706-14D1C7F22453}"/>
            </a:ext>
          </a:extLst>
        </xdr:cNvPr>
        <xdr:cNvSpPr>
          <a:spLocks noChangeArrowheads="1"/>
        </xdr:cNvSpPr>
      </xdr:nvSpPr>
      <xdr:spPr bwMode="auto">
        <a:xfrm>
          <a:off x="228600" y="1000125"/>
          <a:ext cx="1476375" cy="809625"/>
        </a:xfrm>
        <a:prstGeom prst="wedgeRoundRectCallout">
          <a:avLst>
            <a:gd name="adj1" fmla="val 76454"/>
            <a:gd name="adj2" fmla="val 52352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Comment: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This data is used in the Position Risk computation.</a:t>
          </a:r>
        </a:p>
      </xdr:txBody>
    </xdr:sp>
    <xdr:clientData fPrintsWithSheet="0"/>
  </xdr:twoCellAnchor>
  <xdr:twoCellAnchor>
    <xdr:from>
      <xdr:col>1</xdr:col>
      <xdr:colOff>1600835</xdr:colOff>
      <xdr:row>3</xdr:row>
      <xdr:rowOff>3175</xdr:rowOff>
    </xdr:from>
    <xdr:to>
      <xdr:col>6</xdr:col>
      <xdr:colOff>506742</xdr:colOff>
      <xdr:row>4</xdr:row>
      <xdr:rowOff>122</xdr:rowOff>
    </xdr:to>
    <xdr:sp macro="" textlink="">
      <xdr:nvSpPr>
        <xdr:cNvPr id="7186" name="Rectangle 18">
          <a:extLst>
            <a:ext uri="{FF2B5EF4-FFF2-40B4-BE49-F238E27FC236}">
              <a16:creationId xmlns:a16="http://schemas.microsoft.com/office/drawing/2014/main" id="{3C005C19-B915-AC43-A979-ADCA9DAE0C51}"/>
            </a:ext>
          </a:extLst>
        </xdr:cNvPr>
        <xdr:cNvSpPr>
          <a:spLocks noChangeArrowheads="1"/>
        </xdr:cNvSpPr>
      </xdr:nvSpPr>
      <xdr:spPr bwMode="auto">
        <a:xfrm>
          <a:off x="1733550" y="581025"/>
          <a:ext cx="3686175" cy="1809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  Please encode only in cells highlighted in </a:t>
          </a:r>
          <a:r>
            <a:rPr lang="en-PH" sz="800" b="1" i="0" u="none" strike="noStrike" baseline="0">
              <a:solidFill>
                <a:srgbClr val="FFFF00"/>
              </a:solidFill>
              <a:latin typeface="Arial"/>
              <a:cs typeface="Arial"/>
            </a:rPr>
            <a:t>YELLOW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962025</xdr:colOff>
          <xdr:row>1</xdr:row>
          <xdr:rowOff>19050</xdr:rowOff>
        </xdr:to>
        <xdr:sp macro="" textlink="">
          <xdr:nvSpPr>
            <xdr:cNvPr id="7171" name="Button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C3A6A801-5344-1A2D-017B-6CB51D6318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1</xdr:col>
          <xdr:colOff>962025</xdr:colOff>
          <xdr:row>2</xdr:row>
          <xdr:rowOff>57150</xdr:rowOff>
        </xdr:to>
        <xdr:sp macro="" textlink="">
          <xdr:nvSpPr>
            <xdr:cNvPr id="7172" name="Button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5F98651F-F1F4-3BA9-8BB5-F543C3ACDF2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1069975</xdr:colOff>
      <xdr:row>0</xdr:row>
      <xdr:rowOff>121285</xdr:rowOff>
    </xdr:from>
    <xdr:to>
      <xdr:col>10</xdr:col>
      <xdr:colOff>303469</xdr:colOff>
      <xdr:row>3</xdr:row>
      <xdr:rowOff>132768</xdr:rowOff>
    </xdr:to>
    <xdr:sp macro="" textlink="">
      <xdr:nvSpPr>
        <xdr:cNvPr id="31748" name="AutoShape 4">
          <a:extLst>
            <a:ext uri="{FF2B5EF4-FFF2-40B4-BE49-F238E27FC236}">
              <a16:creationId xmlns:a16="http://schemas.microsoft.com/office/drawing/2014/main" id="{6E59D26A-D4B9-EF84-5F1B-14983D8BBF13}"/>
            </a:ext>
          </a:extLst>
        </xdr:cNvPr>
        <xdr:cNvSpPr>
          <a:spLocks noChangeArrowheads="1"/>
        </xdr:cNvSpPr>
      </xdr:nvSpPr>
      <xdr:spPr bwMode="auto">
        <a:xfrm>
          <a:off x="6734175" y="133350"/>
          <a:ext cx="1562100" cy="590550"/>
        </a:xfrm>
        <a:prstGeom prst="wedgeRoundRectCallout">
          <a:avLst>
            <a:gd name="adj1" fmla="val -45120"/>
            <a:gd name="adj2" fmla="val 104838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Provide details of computation below Row B16.</a:t>
          </a:r>
        </a:p>
      </xdr:txBody>
    </xdr:sp>
    <xdr:clientData fPrintsWithSheet="0"/>
  </xdr:twoCellAnchor>
  <xdr:twoCellAnchor>
    <xdr:from>
      <xdr:col>8</xdr:col>
      <xdr:colOff>258445</xdr:colOff>
      <xdr:row>5</xdr:row>
      <xdr:rowOff>112395</xdr:rowOff>
    </xdr:from>
    <xdr:to>
      <xdr:col>11</xdr:col>
      <xdr:colOff>40082</xdr:colOff>
      <xdr:row>11</xdr:row>
      <xdr:rowOff>3201</xdr:rowOff>
    </xdr:to>
    <xdr:sp macro="" textlink="">
      <xdr:nvSpPr>
        <xdr:cNvPr id="31749" name="AutoShape 5">
          <a:extLst>
            <a:ext uri="{FF2B5EF4-FFF2-40B4-BE49-F238E27FC236}">
              <a16:creationId xmlns:a16="http://schemas.microsoft.com/office/drawing/2014/main" id="{8D3A5CE6-6AC5-22E1-204C-CB86BC6966A0}"/>
            </a:ext>
          </a:extLst>
        </xdr:cNvPr>
        <xdr:cNvSpPr>
          <a:spLocks noChangeArrowheads="1"/>
        </xdr:cNvSpPr>
      </xdr:nvSpPr>
      <xdr:spPr bwMode="auto">
        <a:xfrm>
          <a:off x="7019925" y="1038225"/>
          <a:ext cx="1647825" cy="876300"/>
        </a:xfrm>
        <a:prstGeom prst="wedgeRoundRectCallout">
          <a:avLst>
            <a:gd name="adj1" fmla="val -61560"/>
            <a:gd name="adj2" fmla="val -30435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Comment: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up to this row are protected (except for cells G5:G6).  Start encoding below this row.</a:t>
          </a:r>
        </a:p>
      </xdr:txBody>
    </xdr:sp>
    <xdr:clientData fPrintsWithSheet="0"/>
  </xdr:twoCellAnchor>
  <xdr:twoCellAnchor>
    <xdr:from>
      <xdr:col>1</xdr:col>
      <xdr:colOff>915035</xdr:colOff>
      <xdr:row>3</xdr:row>
      <xdr:rowOff>51435</xdr:rowOff>
    </xdr:from>
    <xdr:to>
      <xdr:col>7</xdr:col>
      <xdr:colOff>82555</xdr:colOff>
      <xdr:row>4</xdr:row>
      <xdr:rowOff>107717</xdr:rowOff>
    </xdr:to>
    <xdr:sp macro="" textlink="">
      <xdr:nvSpPr>
        <xdr:cNvPr id="31752" name="Rectangle 8">
          <a:extLst>
            <a:ext uri="{FF2B5EF4-FFF2-40B4-BE49-F238E27FC236}">
              <a16:creationId xmlns:a16="http://schemas.microsoft.com/office/drawing/2014/main" id="{331BD2C3-87B0-B379-1E25-69FFF7091256}"/>
            </a:ext>
          </a:extLst>
        </xdr:cNvPr>
        <xdr:cNvSpPr>
          <a:spLocks noChangeArrowheads="1"/>
        </xdr:cNvSpPr>
      </xdr:nvSpPr>
      <xdr:spPr bwMode="auto">
        <a:xfrm>
          <a:off x="1152525" y="638175"/>
          <a:ext cx="4629150" cy="2286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  Please encode only in cells highlighted in </a:t>
          </a:r>
          <a:r>
            <a:rPr lang="en-PH" sz="1000" b="1" i="0" u="none" strike="noStrike" baseline="0">
              <a:solidFill>
                <a:srgbClr val="FFFF00"/>
              </a:solidFill>
              <a:latin typeface="Arial"/>
              <a:cs typeface="Arial"/>
            </a:rPr>
            <a:t>YELLOW</a:t>
          </a:r>
          <a:r>
            <a:rPr lang="en-PH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885825</xdr:colOff>
          <xdr:row>1</xdr:row>
          <xdr:rowOff>19050</xdr:rowOff>
        </xdr:to>
        <xdr:sp macro="" textlink="">
          <xdr:nvSpPr>
            <xdr:cNvPr id="31745" name="Button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CE10EE41-4509-E680-1179-121110386E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1</xdr:col>
          <xdr:colOff>885825</xdr:colOff>
          <xdr:row>2</xdr:row>
          <xdr:rowOff>57150</xdr:rowOff>
        </xdr:to>
        <xdr:sp macro="" textlink="">
          <xdr:nvSpPr>
            <xdr:cNvPr id="31746" name="Button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1A8F9D8B-91EF-8D90-8594-27FB93A68F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971550</xdr:colOff>
          <xdr:row>1</xdr:row>
          <xdr:rowOff>57150</xdr:rowOff>
        </xdr:to>
        <xdr:sp macro="" textlink="">
          <xdr:nvSpPr>
            <xdr:cNvPr id="20481" name="Button 1" hidden="1">
              <a:extLst>
                <a:ext uri="{63B3BB69-23CF-44E3-9099-C40C66FF867C}">
                  <a14:compatExt spid="_x0000_s20481"/>
                </a:ext>
                <a:ext uri="{FF2B5EF4-FFF2-40B4-BE49-F238E27FC236}">
                  <a16:creationId xmlns:a16="http://schemas.microsoft.com/office/drawing/2014/main" id="{7A1DD99C-77DD-A3B0-F23E-71CBFB2A08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971550</xdr:colOff>
          <xdr:row>2</xdr:row>
          <xdr:rowOff>123825</xdr:rowOff>
        </xdr:to>
        <xdr:sp macro="" textlink="">
          <xdr:nvSpPr>
            <xdr:cNvPr id="20482" name="Button 2" hidden="1">
              <a:extLst>
                <a:ext uri="{63B3BB69-23CF-44E3-9099-C40C66FF867C}">
                  <a14:compatExt spid="_x0000_s20482"/>
                </a:ext>
                <a:ext uri="{FF2B5EF4-FFF2-40B4-BE49-F238E27FC236}">
                  <a16:creationId xmlns:a16="http://schemas.microsoft.com/office/drawing/2014/main" id="{DBAC0027-C4A9-94B6-664B-029EDAC2DA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335280</xdr:colOff>
      <xdr:row>0</xdr:row>
      <xdr:rowOff>0</xdr:rowOff>
    </xdr:from>
    <xdr:to>
      <xdr:col>8</xdr:col>
      <xdr:colOff>417830</xdr:colOff>
      <xdr:row>3</xdr:row>
      <xdr:rowOff>41310</xdr:rowOff>
    </xdr:to>
    <xdr:sp macro="" textlink="">
      <xdr:nvSpPr>
        <xdr:cNvPr id="10244" name="AutoShape 4">
          <a:extLst>
            <a:ext uri="{FF2B5EF4-FFF2-40B4-BE49-F238E27FC236}">
              <a16:creationId xmlns:a16="http://schemas.microsoft.com/office/drawing/2014/main" id="{8EDC3D90-EB38-E644-6C2E-79AA7825C6AC}"/>
            </a:ext>
          </a:extLst>
        </xdr:cNvPr>
        <xdr:cNvSpPr>
          <a:spLocks noChangeArrowheads="1"/>
        </xdr:cNvSpPr>
      </xdr:nvSpPr>
      <xdr:spPr bwMode="auto">
        <a:xfrm>
          <a:off x="5972175" y="0"/>
          <a:ext cx="1905000" cy="619125"/>
        </a:xfrm>
        <a:prstGeom prst="wedgeRoundRectCallout">
          <a:avLst>
            <a:gd name="adj1" fmla="val -113500"/>
            <a:gd name="adj2" fmla="val -3847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1" i="0" u="sng" strike="noStrike" baseline="0">
              <a:solidFill>
                <a:srgbClr val="FF0000"/>
              </a:solidFill>
              <a:latin typeface="Arial"/>
              <a:cs typeface="Arial"/>
            </a:rPr>
            <a:t>Reminder: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  <a:r>
            <a:rPr lang="en-PH" sz="800" b="1" i="0" u="none" strike="noStrike" baseline="0">
              <a:solidFill>
                <a:srgbClr val="0000FF"/>
              </a:solidFill>
              <a:latin typeface="Arial"/>
              <a:cs typeface="Arial"/>
            </a:rPr>
            <a:t> </a:t>
          </a:r>
          <a:r>
            <a:rPr lang="en-P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Offsetting of bank balances where offsetting is allowed should have already been effected.</a:t>
          </a:r>
        </a:p>
      </xdr:txBody>
    </xdr:sp>
    <xdr:clientData/>
  </xdr:twoCellAnchor>
  <xdr:twoCellAnchor>
    <xdr:from>
      <xdr:col>0</xdr:col>
      <xdr:colOff>47625</xdr:colOff>
      <xdr:row>55</xdr:row>
      <xdr:rowOff>38100</xdr:rowOff>
    </xdr:from>
    <xdr:to>
      <xdr:col>5</xdr:col>
      <xdr:colOff>1265</xdr:colOff>
      <xdr:row>58</xdr:row>
      <xdr:rowOff>83820</xdr:rowOff>
    </xdr:to>
    <xdr:sp macro="" textlink="">
      <xdr:nvSpPr>
        <xdr:cNvPr id="10245" name="Rectangle 5">
          <a:extLst>
            <a:ext uri="{FF2B5EF4-FFF2-40B4-BE49-F238E27FC236}">
              <a16:creationId xmlns:a16="http://schemas.microsoft.com/office/drawing/2014/main" id="{3F408B03-8FE9-63F1-F912-5F774CB7A2FB}"/>
            </a:ext>
          </a:extLst>
        </xdr:cNvPr>
        <xdr:cNvSpPr>
          <a:spLocks noChangeArrowheads="1"/>
        </xdr:cNvSpPr>
      </xdr:nvSpPr>
      <xdr:spPr bwMode="auto">
        <a:xfrm>
          <a:off x="47625" y="9172575"/>
          <a:ext cx="5572125" cy="52387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below these are not protected.  If in case, you need additional space, just encode below and link totals to the unprotected cells above.</a:t>
          </a:r>
        </a:p>
      </xdr:txBody>
    </xdr:sp>
    <xdr:clientData/>
  </xdr:twoCellAnchor>
  <xdr:twoCellAnchor>
    <xdr:from>
      <xdr:col>1</xdr:col>
      <xdr:colOff>581025</xdr:colOff>
      <xdr:row>3</xdr:row>
      <xdr:rowOff>89535</xdr:rowOff>
    </xdr:from>
    <xdr:to>
      <xdr:col>4</xdr:col>
      <xdr:colOff>47584</xdr:colOff>
      <xdr:row>4</xdr:row>
      <xdr:rowOff>90970</xdr:rowOff>
    </xdr:to>
    <xdr:sp macro="" textlink="">
      <xdr:nvSpPr>
        <xdr:cNvPr id="10246" name="Rectangle 6">
          <a:extLst>
            <a:ext uri="{FF2B5EF4-FFF2-40B4-BE49-F238E27FC236}">
              <a16:creationId xmlns:a16="http://schemas.microsoft.com/office/drawing/2014/main" id="{22436198-C615-A68E-3F52-A4FCD1AE9B54}"/>
            </a:ext>
          </a:extLst>
        </xdr:cNvPr>
        <xdr:cNvSpPr>
          <a:spLocks noChangeArrowheads="1"/>
        </xdr:cNvSpPr>
      </xdr:nvSpPr>
      <xdr:spPr bwMode="auto">
        <a:xfrm>
          <a:off x="895350" y="676275"/>
          <a:ext cx="3629025" cy="1809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  Please encode only in cells highlighted in </a:t>
          </a:r>
          <a:r>
            <a:rPr lang="en-PH" sz="800" b="1" i="0" u="none" strike="noStrike" baseline="0">
              <a:solidFill>
                <a:srgbClr val="FFFF00"/>
              </a:solidFill>
              <a:latin typeface="Arial"/>
              <a:cs typeface="Arial"/>
            </a:rPr>
            <a:t>YELLOW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809625</xdr:colOff>
          <xdr:row>1</xdr:row>
          <xdr:rowOff>19050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465230BB-89ED-8DB8-5218-3B5E3F4999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1</xdr:col>
          <xdr:colOff>809625</xdr:colOff>
          <xdr:row>2</xdr:row>
          <xdr:rowOff>57150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4A4A3F2C-F07B-5876-60E6-D45DF3CEF81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81</xdr:row>
      <xdr:rowOff>83820</xdr:rowOff>
    </xdr:from>
    <xdr:to>
      <xdr:col>6</xdr:col>
      <xdr:colOff>224147</xdr:colOff>
      <xdr:row>83</xdr:row>
      <xdr:rowOff>145533</xdr:rowOff>
    </xdr:to>
    <xdr:sp macro="" textlink="">
      <xdr:nvSpPr>
        <xdr:cNvPr id="11281" name="Rectangle 17">
          <a:extLst>
            <a:ext uri="{FF2B5EF4-FFF2-40B4-BE49-F238E27FC236}">
              <a16:creationId xmlns:a16="http://schemas.microsoft.com/office/drawing/2014/main" id="{3E75EBDC-1B8A-4308-8FDD-630990825727}"/>
            </a:ext>
          </a:extLst>
        </xdr:cNvPr>
        <xdr:cNvSpPr>
          <a:spLocks noChangeArrowheads="1"/>
        </xdr:cNvSpPr>
      </xdr:nvSpPr>
      <xdr:spPr bwMode="auto">
        <a:xfrm>
          <a:off x="9525" y="13296900"/>
          <a:ext cx="7410450" cy="39052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below these are not protected.  If you need additional space, just encode below and link totals to the unprotected cells above.</a:t>
          </a:r>
        </a:p>
      </xdr:txBody>
    </xdr:sp>
    <xdr:clientData fPrintsWithSheet="0"/>
  </xdr:twoCellAnchor>
  <xdr:twoCellAnchor>
    <xdr:from>
      <xdr:col>1</xdr:col>
      <xdr:colOff>1745615</xdr:colOff>
      <xdr:row>2</xdr:row>
      <xdr:rowOff>162560</xdr:rowOff>
    </xdr:from>
    <xdr:to>
      <xdr:col>4</xdr:col>
      <xdr:colOff>324044</xdr:colOff>
      <xdr:row>4</xdr:row>
      <xdr:rowOff>3097</xdr:rowOff>
    </xdr:to>
    <xdr:sp macro="" textlink="">
      <xdr:nvSpPr>
        <xdr:cNvPr id="11282" name="Rectangle 18">
          <a:extLst>
            <a:ext uri="{FF2B5EF4-FFF2-40B4-BE49-F238E27FC236}">
              <a16:creationId xmlns:a16="http://schemas.microsoft.com/office/drawing/2014/main" id="{5F2158C1-A44A-B0D7-93D9-0E72B0839CF6}"/>
            </a:ext>
          </a:extLst>
        </xdr:cNvPr>
        <xdr:cNvSpPr>
          <a:spLocks noChangeArrowheads="1"/>
        </xdr:cNvSpPr>
      </xdr:nvSpPr>
      <xdr:spPr bwMode="auto">
        <a:xfrm>
          <a:off x="1952625" y="552450"/>
          <a:ext cx="3629025" cy="18097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Important:  Please encode only in cells highlighted in </a:t>
          </a:r>
          <a:r>
            <a:rPr lang="en-PH" sz="800" b="1" i="0" u="none" strike="noStrike" baseline="0">
              <a:solidFill>
                <a:srgbClr val="FFFF00"/>
              </a:solidFill>
              <a:latin typeface="Arial"/>
              <a:cs typeface="Arial"/>
            </a:rPr>
            <a:t>YELLOW</a:t>
          </a:r>
          <a:r>
            <a:rPr lang="en-PH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</a:p>
      </xdr:txBody>
    </xdr:sp>
    <xdr:clientData fPrintsWithSheet="0"/>
  </xdr:twoCellAnchor>
  <xdr:twoCellAnchor>
    <xdr:from>
      <xdr:col>3</xdr:col>
      <xdr:colOff>0</xdr:colOff>
      <xdr:row>6</xdr:row>
      <xdr:rowOff>83820</xdr:rowOff>
    </xdr:from>
    <xdr:to>
      <xdr:col>4</xdr:col>
      <xdr:colOff>47625</xdr:colOff>
      <xdr:row>7</xdr:row>
      <xdr:rowOff>80018</xdr:rowOff>
    </xdr:to>
    <xdr:sp macro="" textlink="">
      <xdr:nvSpPr>
        <xdr:cNvPr id="11283" name="Rectangle 19">
          <a:extLst>
            <a:ext uri="{FF2B5EF4-FFF2-40B4-BE49-F238E27FC236}">
              <a16:creationId xmlns:a16="http://schemas.microsoft.com/office/drawing/2014/main" id="{5FC81BC0-921C-4CDE-CF1C-EA0114BE6835}"/>
            </a:ext>
          </a:extLst>
        </xdr:cNvPr>
        <xdr:cNvSpPr>
          <a:spLocks noChangeArrowheads="1"/>
        </xdr:cNvSpPr>
      </xdr:nvSpPr>
      <xdr:spPr bwMode="auto">
        <a:xfrm>
          <a:off x="4076700" y="1133475"/>
          <a:ext cx="1238250" cy="18097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900" b="1" i="0" u="none" strike="noStrike" baseline="0">
              <a:solidFill>
                <a:srgbClr val="0000FF"/>
              </a:solidFill>
              <a:latin typeface="Arial"/>
              <a:cs typeface="Arial"/>
            </a:rPr>
            <a:t>Format: mm/dd/yyyy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895350</xdr:colOff>
          <xdr:row>1</xdr:row>
          <xdr:rowOff>19050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E3948AB7-FBD4-10FB-275B-7336D804F6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1</xdr:col>
          <xdr:colOff>895350</xdr:colOff>
          <xdr:row>2</xdr:row>
          <xdr:rowOff>57150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624C5766-8B98-A1F7-42AB-FDA98912AEF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0</xdr:col>
          <xdr:colOff>1152525</xdr:colOff>
          <xdr:row>1</xdr:row>
          <xdr:rowOff>57150</xdr:rowOff>
        </xdr:to>
        <xdr:sp macro="" textlink="">
          <xdr:nvSpPr>
            <xdr:cNvPr id="29697" name="Button 1" hidden="1">
              <a:extLst>
                <a:ext uri="{63B3BB69-23CF-44E3-9099-C40C66FF867C}">
                  <a14:compatExt spid="_x0000_s29697"/>
                </a:ext>
                <a:ext uri="{FF2B5EF4-FFF2-40B4-BE49-F238E27FC236}">
                  <a16:creationId xmlns:a16="http://schemas.microsoft.com/office/drawing/2014/main" id="{5777DC3A-7811-4F8F-74F6-6ECE1E748F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0</xdr:col>
          <xdr:colOff>1152525</xdr:colOff>
          <xdr:row>2</xdr:row>
          <xdr:rowOff>95250</xdr:rowOff>
        </xdr:to>
        <xdr:sp macro="" textlink="">
          <xdr:nvSpPr>
            <xdr:cNvPr id="29698" name="Button 2" hidden="1">
              <a:extLst>
                <a:ext uri="{63B3BB69-23CF-44E3-9099-C40C66FF867C}">
                  <a14:compatExt spid="_x0000_s29698"/>
                </a:ext>
                <a:ext uri="{FF2B5EF4-FFF2-40B4-BE49-F238E27FC236}">
                  <a16:creationId xmlns:a16="http://schemas.microsoft.com/office/drawing/2014/main" id="{A216EC05-E048-E464-1A58-0142D3C2744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742950</xdr:colOff>
          <xdr:row>1</xdr:row>
          <xdr:rowOff>19050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621BB8DB-0E16-EA00-0FDF-69364E06B8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1</xdr:col>
          <xdr:colOff>742950</xdr:colOff>
          <xdr:row>2</xdr:row>
          <xdr:rowOff>57150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F408E53D-6068-E62D-92A8-3A4C25B73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752475</xdr:colOff>
          <xdr:row>1</xdr:row>
          <xdr:rowOff>19050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A52B062C-DBB7-CEE0-2710-E11EABEFEB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19050</xdr:rowOff>
        </xdr:from>
        <xdr:to>
          <xdr:col>1</xdr:col>
          <xdr:colOff>752475</xdr:colOff>
          <xdr:row>2</xdr:row>
          <xdr:rowOff>57150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CE2393FB-7BC8-902D-4635-F590867CBC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5</xdr:row>
      <xdr:rowOff>145415</xdr:rowOff>
    </xdr:from>
    <xdr:to>
      <xdr:col>2</xdr:col>
      <xdr:colOff>4066</xdr:colOff>
      <xdr:row>7</xdr:row>
      <xdr:rowOff>1526</xdr:rowOff>
    </xdr:to>
    <xdr:sp macro="" textlink="">
      <xdr:nvSpPr>
        <xdr:cNvPr id="14339" name="Rectangle 3">
          <a:extLst>
            <a:ext uri="{FF2B5EF4-FFF2-40B4-BE49-F238E27FC236}">
              <a16:creationId xmlns:a16="http://schemas.microsoft.com/office/drawing/2014/main" id="{945B909C-05C5-D2B4-418A-9FE90C612117}"/>
            </a:ext>
          </a:extLst>
        </xdr:cNvPr>
        <xdr:cNvSpPr>
          <a:spLocks noChangeArrowheads="1"/>
        </xdr:cNvSpPr>
      </xdr:nvSpPr>
      <xdr:spPr bwMode="auto">
        <a:xfrm>
          <a:off x="2409825" y="952500"/>
          <a:ext cx="1000125" cy="171450"/>
        </a:xfrm>
        <a:prstGeom prst="rect">
          <a:avLst/>
        </a:prstGeom>
        <a:solidFill>
          <a:srgbClr val="FF99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PH" sz="750" b="0" i="0" u="none" strike="noStrike" baseline="0">
              <a:solidFill>
                <a:srgbClr val="000000"/>
              </a:solidFill>
              <a:latin typeface="Arial"/>
              <a:cs typeface="Arial"/>
            </a:rPr>
            <a:t>Last Year's Audited FS</a:t>
          </a:r>
        </a:p>
      </xdr:txBody>
    </xdr:sp>
    <xdr:clientData fPrintsWithSheet="0"/>
  </xdr:twoCellAnchor>
  <xdr:twoCellAnchor>
    <xdr:from>
      <xdr:col>0</xdr:col>
      <xdr:colOff>630555</xdr:colOff>
      <xdr:row>7</xdr:row>
      <xdr:rowOff>150495</xdr:rowOff>
    </xdr:from>
    <xdr:to>
      <xdr:col>0</xdr:col>
      <xdr:colOff>2331653</xdr:colOff>
      <xdr:row>9</xdr:row>
      <xdr:rowOff>29961</xdr:rowOff>
    </xdr:to>
    <xdr:sp macro="" textlink="">
      <xdr:nvSpPr>
        <xdr:cNvPr id="14342" name="AutoShape 6">
          <a:extLst>
            <a:ext uri="{FF2B5EF4-FFF2-40B4-BE49-F238E27FC236}">
              <a16:creationId xmlns:a16="http://schemas.microsoft.com/office/drawing/2014/main" id="{2A19418C-4BE5-2CC9-1743-28972BB5C2A2}"/>
            </a:ext>
          </a:extLst>
        </xdr:cNvPr>
        <xdr:cNvSpPr>
          <a:spLocks noChangeArrowheads="1"/>
        </xdr:cNvSpPr>
      </xdr:nvSpPr>
      <xdr:spPr bwMode="auto">
        <a:xfrm>
          <a:off x="619125" y="1285875"/>
          <a:ext cx="1657350" cy="238125"/>
        </a:xfrm>
        <a:prstGeom prst="rightArrow">
          <a:avLst>
            <a:gd name="adj1" fmla="val 50000"/>
            <a:gd name="adj2" fmla="val 174000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Encode Year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0</xdr:row>
          <xdr:rowOff>0</xdr:rowOff>
        </xdr:from>
        <xdr:to>
          <xdr:col>0</xdr:col>
          <xdr:colOff>1152525</xdr:colOff>
          <xdr:row>1</xdr:row>
          <xdr:rowOff>57150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B23011-00A4-4FFB-AE3F-BF7A9DF89E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57150</xdr:rowOff>
        </xdr:from>
        <xdr:to>
          <xdr:col>0</xdr:col>
          <xdr:colOff>1152525</xdr:colOff>
          <xdr:row>2</xdr:row>
          <xdr:rowOff>123825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8EA6925F-9AB4-DA00-FCF5-953968B4CE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781050</xdr:colOff>
          <xdr:row>1</xdr:row>
          <xdr:rowOff>57150</xdr:rowOff>
        </xdr:to>
        <xdr:sp macro="" textlink="">
          <xdr:nvSpPr>
            <xdr:cNvPr id="16385" name="Butto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FC9C71AF-0C89-A4BF-9F1F-8683642C91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781050</xdr:colOff>
          <xdr:row>2</xdr:row>
          <xdr:rowOff>123825</xdr:rowOff>
        </xdr:to>
        <xdr:sp macro="" textlink="">
          <xdr:nvSpPr>
            <xdr:cNvPr id="16386" name="Button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6BF3DB5-81CF-1875-AC5A-F3C111D633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428625</xdr:colOff>
      <xdr:row>7</xdr:row>
      <xdr:rowOff>3175</xdr:rowOff>
    </xdr:from>
    <xdr:to>
      <xdr:col>9</xdr:col>
      <xdr:colOff>76200</xdr:colOff>
      <xdr:row>10</xdr:row>
      <xdr:rowOff>83917</xdr:rowOff>
    </xdr:to>
    <xdr:sp macro="" textlink="">
      <xdr:nvSpPr>
        <xdr:cNvPr id="15363" name="AutoShape 3">
          <a:extLst>
            <a:ext uri="{FF2B5EF4-FFF2-40B4-BE49-F238E27FC236}">
              <a16:creationId xmlns:a16="http://schemas.microsoft.com/office/drawing/2014/main" id="{51F28A25-5677-53AB-55BC-742B96CEFC6A}"/>
            </a:ext>
          </a:extLst>
        </xdr:cNvPr>
        <xdr:cNvSpPr>
          <a:spLocks noChangeArrowheads="1"/>
        </xdr:cNvSpPr>
      </xdr:nvSpPr>
      <xdr:spPr bwMode="auto">
        <a:xfrm>
          <a:off x="6762750" y="2124075"/>
          <a:ext cx="1476375" cy="561975"/>
        </a:xfrm>
        <a:prstGeom prst="wedgeRoundRectCallout">
          <a:avLst>
            <a:gd name="adj1" fmla="val -75806"/>
            <a:gd name="adj2" fmla="val 5931"/>
            <a:gd name="adj3" fmla="val 16667"/>
          </a:avLst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in details at Schedule of Marketable Securities worksheet.</a:t>
          </a:r>
        </a:p>
      </xdr:txBody>
    </xdr:sp>
    <xdr:clientData fPrintsWithSheet="0"/>
  </xdr:twoCellAnchor>
  <xdr:twoCellAnchor>
    <xdr:from>
      <xdr:col>0</xdr:col>
      <xdr:colOff>303530</xdr:colOff>
      <xdr:row>24</xdr:row>
      <xdr:rowOff>41275</xdr:rowOff>
    </xdr:from>
    <xdr:to>
      <xdr:col>3</xdr:col>
      <xdr:colOff>325760</xdr:colOff>
      <xdr:row>27</xdr:row>
      <xdr:rowOff>79375</xdr:rowOff>
    </xdr:to>
    <xdr:sp macro="" textlink="">
      <xdr:nvSpPr>
        <xdr:cNvPr id="15364" name="Rectangle 4">
          <a:extLst>
            <a:ext uri="{FF2B5EF4-FFF2-40B4-BE49-F238E27FC236}">
              <a16:creationId xmlns:a16="http://schemas.microsoft.com/office/drawing/2014/main" id="{FEAAFF4F-6837-852D-9C04-0CFE458DBB9F}"/>
            </a:ext>
          </a:extLst>
        </xdr:cNvPr>
        <xdr:cNvSpPr>
          <a:spLocks noChangeArrowheads="1"/>
        </xdr:cNvSpPr>
      </xdr:nvSpPr>
      <xdr:spPr bwMode="auto">
        <a:xfrm>
          <a:off x="295275" y="5086350"/>
          <a:ext cx="3876675" cy="52387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en-PH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below these are not protected.  If in case, you need additional space, just encode below and link totals to the unprotected cells above.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781050</xdr:colOff>
          <xdr:row>1</xdr:row>
          <xdr:rowOff>57150</xdr:rowOff>
        </xdr:to>
        <xdr:sp macro="" textlink="">
          <xdr:nvSpPr>
            <xdr:cNvPr id="15361" name="Button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4E3265BC-A4CA-9D9E-8139-C0FD4040FB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781050</xdr:colOff>
          <xdr:row>2</xdr:row>
          <xdr:rowOff>123825</xdr:rowOff>
        </xdr:to>
        <xdr:sp macro="" textlink="">
          <xdr:nvSpPr>
            <xdr:cNvPr id="15362" name="Butto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5E3D342-6C0F-9246-FE66-AF765E4B09D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28</xdr:row>
      <xdr:rowOff>38100</xdr:rowOff>
    </xdr:from>
    <xdr:to>
      <xdr:col>6</xdr:col>
      <xdr:colOff>363835</xdr:colOff>
      <xdr:row>31</xdr:row>
      <xdr:rowOff>83820</xdr:rowOff>
    </xdr:to>
    <xdr:sp macro="" textlink="">
      <xdr:nvSpPr>
        <xdr:cNvPr id="17414" name="Rectangle 6">
          <a:extLst>
            <a:ext uri="{FF2B5EF4-FFF2-40B4-BE49-F238E27FC236}">
              <a16:creationId xmlns:a16="http://schemas.microsoft.com/office/drawing/2014/main" id="{621BE105-6F86-AA29-F2CE-F6BF32E7B06D}"/>
            </a:ext>
          </a:extLst>
        </xdr:cNvPr>
        <xdr:cNvSpPr>
          <a:spLocks noChangeArrowheads="1"/>
        </xdr:cNvSpPr>
      </xdr:nvSpPr>
      <xdr:spPr bwMode="auto">
        <a:xfrm>
          <a:off x="504825" y="5514975"/>
          <a:ext cx="6048375" cy="52387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below these are not protected.  If in case, you need additional space, just encode below and link totals to the unprotected cells above.</a:t>
          </a:r>
        </a:p>
      </xdr:txBody>
    </xdr:sp>
    <xdr:clientData fPrintsWithSheet="0"/>
  </xdr:twoCellAnchor>
  <xdr:twoCellAnchor>
    <xdr:from>
      <xdr:col>0</xdr:col>
      <xdr:colOff>0</xdr:colOff>
      <xdr:row>32</xdr:row>
      <xdr:rowOff>47625</xdr:rowOff>
    </xdr:from>
    <xdr:to>
      <xdr:col>6</xdr:col>
      <xdr:colOff>916320</xdr:colOff>
      <xdr:row>33</xdr:row>
      <xdr:rowOff>69891</xdr:rowOff>
    </xdr:to>
    <xdr:sp macro="" textlink="">
      <xdr:nvSpPr>
        <xdr:cNvPr id="17421" name="Rectangle 13">
          <a:extLst>
            <a:ext uri="{FF2B5EF4-FFF2-40B4-BE49-F238E27FC236}">
              <a16:creationId xmlns:a16="http://schemas.microsoft.com/office/drawing/2014/main" id="{C79709DC-F53B-B3E2-F0C2-944D2344E72A}"/>
            </a:ext>
          </a:extLst>
        </xdr:cNvPr>
        <xdr:cNvSpPr>
          <a:spLocks noChangeArrowheads="1"/>
        </xdr:cNvSpPr>
      </xdr:nvSpPr>
      <xdr:spPr bwMode="auto">
        <a:xfrm>
          <a:off x="0" y="6172200"/>
          <a:ext cx="7077075" cy="180975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1000" b="1" i="0" u="sng" strike="noStrike" baseline="0">
              <a:solidFill>
                <a:srgbClr val="FF0000"/>
              </a:solidFill>
              <a:latin typeface="Arial"/>
              <a:cs typeface="Arial"/>
            </a:rPr>
            <a:t>Provide additional details below this line using the same format above.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666750</xdr:colOff>
          <xdr:row>1</xdr:row>
          <xdr:rowOff>57150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A8D20FEB-1F0A-38C0-32C8-5CC3C0BEB6C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666750</xdr:colOff>
          <xdr:row>2</xdr:row>
          <xdr:rowOff>123825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492E8828-1802-BA2C-2239-6932C38196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23</xdr:row>
      <xdr:rowOff>29845</xdr:rowOff>
    </xdr:from>
    <xdr:to>
      <xdr:col>10</xdr:col>
      <xdr:colOff>611490</xdr:colOff>
      <xdr:row>25</xdr:row>
      <xdr:rowOff>84082</xdr:rowOff>
    </xdr:to>
    <xdr:sp macro="" textlink="">
      <xdr:nvSpPr>
        <xdr:cNvPr id="19461" name="Rectangle 5">
          <a:extLst>
            <a:ext uri="{FF2B5EF4-FFF2-40B4-BE49-F238E27FC236}">
              <a16:creationId xmlns:a16="http://schemas.microsoft.com/office/drawing/2014/main" id="{AFAAF5E8-DCC3-865B-8C6D-E4CAE0A8ABF8}"/>
            </a:ext>
          </a:extLst>
        </xdr:cNvPr>
        <xdr:cNvSpPr>
          <a:spLocks noChangeArrowheads="1"/>
        </xdr:cNvSpPr>
      </xdr:nvSpPr>
      <xdr:spPr bwMode="auto">
        <a:xfrm>
          <a:off x="628650" y="5038725"/>
          <a:ext cx="8143875" cy="38100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below these are not protected.  If in case, you need additional space, just encode below and link totals to the unprotected cells above.</a:t>
          </a:r>
        </a:p>
      </xdr:txBody>
    </xdr:sp>
    <xdr:clientData fPrintsWithSheet="0"/>
  </xdr:twoCellAnchor>
  <xdr:twoCellAnchor>
    <xdr:from>
      <xdr:col>2</xdr:col>
      <xdr:colOff>295275</xdr:colOff>
      <xdr:row>9</xdr:row>
      <xdr:rowOff>209550</xdr:rowOff>
    </xdr:from>
    <xdr:to>
      <xdr:col>2</xdr:col>
      <xdr:colOff>742950</xdr:colOff>
      <xdr:row>9</xdr:row>
      <xdr:rowOff>609600</xdr:rowOff>
    </xdr:to>
    <xdr:sp macro="" textlink="">
      <xdr:nvSpPr>
        <xdr:cNvPr id="19788" name="AutoShape 6">
          <a:extLst>
            <a:ext uri="{FF2B5EF4-FFF2-40B4-BE49-F238E27FC236}">
              <a16:creationId xmlns:a16="http://schemas.microsoft.com/office/drawing/2014/main" id="{236B9367-F9D3-CF09-4219-D06C0A69A464}"/>
            </a:ext>
          </a:extLst>
        </xdr:cNvPr>
        <xdr:cNvSpPr>
          <a:spLocks noChangeArrowheads="1"/>
        </xdr:cNvSpPr>
      </xdr:nvSpPr>
      <xdr:spPr bwMode="auto">
        <a:xfrm rot="10800000">
          <a:off x="1924050" y="2038350"/>
          <a:ext cx="447675" cy="371475"/>
        </a:xfrm>
        <a:prstGeom prst="upArrow">
          <a:avLst>
            <a:gd name="adj1" fmla="val 50000"/>
            <a:gd name="adj2" fmla="val 25000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PrintsWithSheet="0"/>
  </xdr:twoCellAnchor>
  <xdr:twoCellAnchor>
    <xdr:from>
      <xdr:col>12</xdr:col>
      <xdr:colOff>228600</xdr:colOff>
      <xdr:row>9</xdr:row>
      <xdr:rowOff>66675</xdr:rowOff>
    </xdr:from>
    <xdr:to>
      <xdr:col>12</xdr:col>
      <xdr:colOff>666750</xdr:colOff>
      <xdr:row>9</xdr:row>
      <xdr:rowOff>504825</xdr:rowOff>
    </xdr:to>
    <xdr:sp macro="" textlink="">
      <xdr:nvSpPr>
        <xdr:cNvPr id="19789" name="AutoShape 7">
          <a:extLst>
            <a:ext uri="{FF2B5EF4-FFF2-40B4-BE49-F238E27FC236}">
              <a16:creationId xmlns:a16="http://schemas.microsoft.com/office/drawing/2014/main" id="{8BDDBD8F-F6F2-FC64-D29A-449D74BF7FE0}"/>
            </a:ext>
          </a:extLst>
        </xdr:cNvPr>
        <xdr:cNvSpPr>
          <a:spLocks noChangeArrowheads="1"/>
        </xdr:cNvSpPr>
      </xdr:nvSpPr>
      <xdr:spPr bwMode="auto">
        <a:xfrm rot="10800000">
          <a:off x="10163175" y="1895475"/>
          <a:ext cx="438150" cy="438150"/>
        </a:xfrm>
        <a:prstGeom prst="upArrow">
          <a:avLst>
            <a:gd name="adj1" fmla="val 50000"/>
            <a:gd name="adj2" fmla="val 25000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571500</xdr:colOff>
          <xdr:row>1</xdr:row>
          <xdr:rowOff>57150</xdr:rowOff>
        </xdr:to>
        <xdr:sp macro="" textlink="">
          <xdr:nvSpPr>
            <xdr:cNvPr id="19457" name="Button 1" hidden="1">
              <a:extLst>
                <a:ext uri="{63B3BB69-23CF-44E3-9099-C40C66FF867C}">
                  <a14:compatExt spid="_x0000_s19457"/>
                </a:ext>
                <a:ext uri="{FF2B5EF4-FFF2-40B4-BE49-F238E27FC236}">
                  <a16:creationId xmlns:a16="http://schemas.microsoft.com/office/drawing/2014/main" id="{CAFB8131-5CE4-062B-0B13-C40AA3A693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571500</xdr:colOff>
          <xdr:row>2</xdr:row>
          <xdr:rowOff>123825</xdr:rowOff>
        </xdr:to>
        <xdr:sp macro="" textlink="">
          <xdr:nvSpPr>
            <xdr:cNvPr id="19458" name="Button 2" hidden="1">
              <a:extLst>
                <a:ext uri="{63B3BB69-23CF-44E3-9099-C40C66FF867C}">
                  <a14:compatExt spid="_x0000_s19458"/>
                </a:ext>
                <a:ext uri="{FF2B5EF4-FFF2-40B4-BE49-F238E27FC236}">
                  <a16:creationId xmlns:a16="http://schemas.microsoft.com/office/drawing/2014/main" id="{B17B4CA5-91DC-9C67-B485-3DDA86CF7D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6</xdr:col>
          <xdr:colOff>0</xdr:colOff>
          <xdr:row>12</xdr:row>
          <xdr:rowOff>19050</xdr:rowOff>
        </xdr:to>
        <xdr:sp macro="" textlink="">
          <xdr:nvSpPr>
            <xdr:cNvPr id="19466" name="Drop Down 10" hidden="1">
              <a:extLst>
                <a:ext uri="{63B3BB69-23CF-44E3-9099-C40C66FF867C}">
                  <a14:compatExt spid="_x0000_s19466"/>
                </a:ext>
                <a:ext uri="{FF2B5EF4-FFF2-40B4-BE49-F238E27FC236}">
                  <a16:creationId xmlns:a16="http://schemas.microsoft.com/office/drawing/2014/main" id="{EAD2E16E-8341-5456-10ED-60C2EDE741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6</xdr:col>
          <xdr:colOff>0</xdr:colOff>
          <xdr:row>13</xdr:row>
          <xdr:rowOff>19050</xdr:rowOff>
        </xdr:to>
        <xdr:sp macro="" textlink="">
          <xdr:nvSpPr>
            <xdr:cNvPr id="19477" name="Drop Down 21" hidden="1">
              <a:extLst>
                <a:ext uri="{63B3BB69-23CF-44E3-9099-C40C66FF867C}">
                  <a14:compatExt spid="_x0000_s19477"/>
                </a:ext>
                <a:ext uri="{FF2B5EF4-FFF2-40B4-BE49-F238E27FC236}">
                  <a16:creationId xmlns:a16="http://schemas.microsoft.com/office/drawing/2014/main" id="{494E8CCF-B509-2F87-8F1B-8F5D9CEA55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</xdr:row>
          <xdr:rowOff>0</xdr:rowOff>
        </xdr:from>
        <xdr:to>
          <xdr:col>6</xdr:col>
          <xdr:colOff>0</xdr:colOff>
          <xdr:row>14</xdr:row>
          <xdr:rowOff>19050</xdr:rowOff>
        </xdr:to>
        <xdr:sp macro="" textlink="">
          <xdr:nvSpPr>
            <xdr:cNvPr id="19479" name="Drop Down 23" hidden="1">
              <a:extLst>
                <a:ext uri="{63B3BB69-23CF-44E3-9099-C40C66FF867C}">
                  <a14:compatExt spid="_x0000_s19479"/>
                </a:ext>
                <a:ext uri="{FF2B5EF4-FFF2-40B4-BE49-F238E27FC236}">
                  <a16:creationId xmlns:a16="http://schemas.microsoft.com/office/drawing/2014/main" id="{F14FD7DA-B7E6-E409-3E68-9A19FA1B67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6</xdr:col>
          <xdr:colOff>0</xdr:colOff>
          <xdr:row>15</xdr:row>
          <xdr:rowOff>19050</xdr:rowOff>
        </xdr:to>
        <xdr:sp macro="" textlink="">
          <xdr:nvSpPr>
            <xdr:cNvPr id="19481" name="Drop Down 25" hidden="1">
              <a:extLst>
                <a:ext uri="{63B3BB69-23CF-44E3-9099-C40C66FF867C}">
                  <a14:compatExt spid="_x0000_s19481"/>
                </a:ext>
                <a:ext uri="{FF2B5EF4-FFF2-40B4-BE49-F238E27FC236}">
                  <a16:creationId xmlns:a16="http://schemas.microsoft.com/office/drawing/2014/main" id="{A573E7F5-9023-BCD4-470E-5FEEF0ED4E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171450</xdr:rowOff>
        </xdr:from>
        <xdr:to>
          <xdr:col>6</xdr:col>
          <xdr:colOff>0</xdr:colOff>
          <xdr:row>16</xdr:row>
          <xdr:rowOff>0</xdr:rowOff>
        </xdr:to>
        <xdr:sp macro="" textlink="">
          <xdr:nvSpPr>
            <xdr:cNvPr id="19483" name="Drop Down 27" hidden="1">
              <a:extLst>
                <a:ext uri="{63B3BB69-23CF-44E3-9099-C40C66FF867C}">
                  <a14:compatExt spid="_x0000_s19483"/>
                </a:ext>
                <a:ext uri="{FF2B5EF4-FFF2-40B4-BE49-F238E27FC236}">
                  <a16:creationId xmlns:a16="http://schemas.microsoft.com/office/drawing/2014/main" id="{C351D197-2528-A114-079C-FB5DD08EF3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171450</xdr:rowOff>
        </xdr:from>
        <xdr:to>
          <xdr:col>6</xdr:col>
          <xdr:colOff>0</xdr:colOff>
          <xdr:row>17</xdr:row>
          <xdr:rowOff>0</xdr:rowOff>
        </xdr:to>
        <xdr:sp macro="" textlink="">
          <xdr:nvSpPr>
            <xdr:cNvPr id="19485" name="Drop Down 29" hidden="1">
              <a:extLst>
                <a:ext uri="{63B3BB69-23CF-44E3-9099-C40C66FF867C}">
                  <a14:compatExt spid="_x0000_s19485"/>
                </a:ext>
                <a:ext uri="{FF2B5EF4-FFF2-40B4-BE49-F238E27FC236}">
                  <a16:creationId xmlns:a16="http://schemas.microsoft.com/office/drawing/2014/main" id="{4AF95482-F7F7-A2DF-8A25-DBC3880DB1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171450</xdr:rowOff>
        </xdr:from>
        <xdr:to>
          <xdr:col>6</xdr:col>
          <xdr:colOff>0</xdr:colOff>
          <xdr:row>18</xdr:row>
          <xdr:rowOff>0</xdr:rowOff>
        </xdr:to>
        <xdr:sp macro="" textlink="">
          <xdr:nvSpPr>
            <xdr:cNvPr id="19487" name="Drop Down 31" hidden="1">
              <a:extLst>
                <a:ext uri="{63B3BB69-23CF-44E3-9099-C40C66FF867C}">
                  <a14:compatExt spid="_x0000_s19487"/>
                </a:ext>
                <a:ext uri="{FF2B5EF4-FFF2-40B4-BE49-F238E27FC236}">
                  <a16:creationId xmlns:a16="http://schemas.microsoft.com/office/drawing/2014/main" id="{B4CD1006-EAEB-CC9C-74D0-74860E9AD1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171450</xdr:rowOff>
        </xdr:from>
        <xdr:to>
          <xdr:col>6</xdr:col>
          <xdr:colOff>0</xdr:colOff>
          <xdr:row>19</xdr:row>
          <xdr:rowOff>0</xdr:rowOff>
        </xdr:to>
        <xdr:sp macro="" textlink="">
          <xdr:nvSpPr>
            <xdr:cNvPr id="19489" name="Drop Down 33" hidden="1">
              <a:extLst>
                <a:ext uri="{63B3BB69-23CF-44E3-9099-C40C66FF867C}">
                  <a14:compatExt spid="_x0000_s19489"/>
                </a:ext>
                <a:ext uri="{FF2B5EF4-FFF2-40B4-BE49-F238E27FC236}">
                  <a16:creationId xmlns:a16="http://schemas.microsoft.com/office/drawing/2014/main" id="{CE0B39DD-E2A1-E541-7FF4-95F42C5A9F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171450</xdr:rowOff>
        </xdr:from>
        <xdr:to>
          <xdr:col>6</xdr:col>
          <xdr:colOff>0</xdr:colOff>
          <xdr:row>20</xdr:row>
          <xdr:rowOff>0</xdr:rowOff>
        </xdr:to>
        <xdr:sp macro="" textlink="">
          <xdr:nvSpPr>
            <xdr:cNvPr id="19491" name="Drop Down 35" hidden="1">
              <a:extLst>
                <a:ext uri="{63B3BB69-23CF-44E3-9099-C40C66FF867C}">
                  <a14:compatExt spid="_x0000_s19491"/>
                </a:ext>
                <a:ext uri="{FF2B5EF4-FFF2-40B4-BE49-F238E27FC236}">
                  <a16:creationId xmlns:a16="http://schemas.microsoft.com/office/drawing/2014/main" id="{09B6A5A0-BA0C-D6D4-A4B5-6F3CDE2C59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171450</xdr:rowOff>
        </xdr:from>
        <xdr:to>
          <xdr:col>6</xdr:col>
          <xdr:colOff>0</xdr:colOff>
          <xdr:row>21</xdr:row>
          <xdr:rowOff>0</xdr:rowOff>
        </xdr:to>
        <xdr:sp macro="" textlink="">
          <xdr:nvSpPr>
            <xdr:cNvPr id="19492" name="Drop Down 36" hidden="1">
              <a:extLst>
                <a:ext uri="{63B3BB69-23CF-44E3-9099-C40C66FF867C}">
                  <a14:compatExt spid="_x0000_s19492"/>
                </a:ext>
                <a:ext uri="{FF2B5EF4-FFF2-40B4-BE49-F238E27FC236}">
                  <a16:creationId xmlns:a16="http://schemas.microsoft.com/office/drawing/2014/main" id="{3D42DC18-150C-2795-C329-8173364DE6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3175</xdr:rowOff>
    </xdr:from>
    <xdr:to>
      <xdr:col>8</xdr:col>
      <xdr:colOff>19050</xdr:colOff>
      <xdr:row>27</xdr:row>
      <xdr:rowOff>123269</xdr:rowOff>
    </xdr:to>
    <xdr:sp macro="" textlink="">
      <xdr:nvSpPr>
        <xdr:cNvPr id="18439" name="Rectangle 7">
          <a:extLst>
            <a:ext uri="{FF2B5EF4-FFF2-40B4-BE49-F238E27FC236}">
              <a16:creationId xmlns:a16="http://schemas.microsoft.com/office/drawing/2014/main" id="{52F604C4-79A4-937B-12D1-0E50327233BC}"/>
            </a:ext>
          </a:extLst>
        </xdr:cNvPr>
        <xdr:cNvSpPr>
          <a:spLocks noChangeArrowheads="1"/>
        </xdr:cNvSpPr>
      </xdr:nvSpPr>
      <xdr:spPr bwMode="auto">
        <a:xfrm>
          <a:off x="0" y="4724400"/>
          <a:ext cx="8477250" cy="438150"/>
        </a:xfrm>
        <a:prstGeom prst="rect">
          <a:avLst/>
        </a:prstGeom>
        <a:solidFill>
          <a:srgbClr val="FFFF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PH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TIP:</a:t>
          </a: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P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Cells below these are not protected.  If in case, you need additional space, just encode below and link totals to the unprotected cells above.</a:t>
          </a:r>
        </a:p>
      </xdr:txBody>
    </xdr:sp>
    <xdr:clientData/>
  </xdr:twoCellAnchor>
  <xdr:twoCellAnchor>
    <xdr:from>
      <xdr:col>1</xdr:col>
      <xdr:colOff>48260</xdr:colOff>
      <xdr:row>7</xdr:row>
      <xdr:rowOff>12700</xdr:rowOff>
    </xdr:from>
    <xdr:to>
      <xdr:col>1</xdr:col>
      <xdr:colOff>757893</xdr:colOff>
      <xdr:row>8</xdr:row>
      <xdr:rowOff>3418</xdr:rowOff>
    </xdr:to>
    <xdr:sp macro="" textlink="">
      <xdr:nvSpPr>
        <xdr:cNvPr id="18442" name="AutoShape 10">
          <a:extLst>
            <a:ext uri="{FF2B5EF4-FFF2-40B4-BE49-F238E27FC236}">
              <a16:creationId xmlns:a16="http://schemas.microsoft.com/office/drawing/2014/main" id="{1B339A8C-FF55-3D26-F77C-DE6B7BA3EB9D}"/>
            </a:ext>
          </a:extLst>
        </xdr:cNvPr>
        <xdr:cNvSpPr>
          <a:spLocks noChangeArrowheads="1"/>
        </xdr:cNvSpPr>
      </xdr:nvSpPr>
      <xdr:spPr bwMode="auto">
        <a:xfrm>
          <a:off x="504825" y="1638300"/>
          <a:ext cx="676275" cy="295275"/>
        </a:xfrm>
        <a:prstGeom prst="rightArrow">
          <a:avLst>
            <a:gd name="adj1" fmla="val 50000"/>
            <a:gd name="adj2" fmla="val 57258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P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10% of CE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685800</xdr:colOff>
          <xdr:row>1</xdr:row>
          <xdr:rowOff>57150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  <a:ext uri="{FF2B5EF4-FFF2-40B4-BE49-F238E27FC236}">
                  <a16:creationId xmlns:a16="http://schemas.microsoft.com/office/drawing/2014/main" id="{666CE86E-ACDF-CF0A-D786-8AAB504AF7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685800</xdr:colOff>
          <xdr:row>2</xdr:row>
          <xdr:rowOff>123825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  <a:ext uri="{FF2B5EF4-FFF2-40B4-BE49-F238E27FC236}">
                  <a16:creationId xmlns:a16="http://schemas.microsoft.com/office/drawing/2014/main" id="{8BF3499B-8F72-081B-FE79-973BA54257E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1</xdr:col>
          <xdr:colOff>676275</xdr:colOff>
          <xdr:row>1</xdr:row>
          <xdr:rowOff>57150</xdr:rowOff>
        </xdr:to>
        <xdr:sp macro="" textlink="">
          <xdr:nvSpPr>
            <xdr:cNvPr id="21505" name="Button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6E60E473-FB26-32C1-3076-8635DB4318D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1</xdr:col>
          <xdr:colOff>676275</xdr:colOff>
          <xdr:row>2</xdr:row>
          <xdr:rowOff>123825</xdr:rowOff>
        </xdr:to>
        <xdr:sp macro="" textlink="">
          <xdr:nvSpPr>
            <xdr:cNvPr id="21506" name="Button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271C0EA9-6284-EB67-949F-EE5BC59C01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0</xdr:row>
          <xdr:rowOff>0</xdr:rowOff>
        </xdr:from>
        <xdr:to>
          <xdr:col>0</xdr:col>
          <xdr:colOff>1143000</xdr:colOff>
          <xdr:row>1</xdr:row>
          <xdr:rowOff>57150</xdr:rowOff>
        </xdr:to>
        <xdr:sp macro="" textlink="">
          <xdr:nvSpPr>
            <xdr:cNvPr id="23553" name="Button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982511E6-593F-59BB-256A-8EABA8E1F0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</xdr:row>
          <xdr:rowOff>57150</xdr:rowOff>
        </xdr:from>
        <xdr:to>
          <xdr:col>0</xdr:col>
          <xdr:colOff>1143000</xdr:colOff>
          <xdr:row>2</xdr:row>
          <xdr:rowOff>123825</xdr:rowOff>
        </xdr:to>
        <xdr:sp macro="" textlink="">
          <xdr:nvSpPr>
            <xdr:cNvPr id="23554" name="Button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D5C66305-1DF5-E117-5840-F9DAD43744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177800</xdr:colOff>
      <xdr:row>134</xdr:row>
      <xdr:rowOff>28575</xdr:rowOff>
    </xdr:from>
    <xdr:to>
      <xdr:col>10</xdr:col>
      <xdr:colOff>805125</xdr:colOff>
      <xdr:row>137</xdr:row>
      <xdr:rowOff>0</xdr:rowOff>
    </xdr:to>
    <xdr:sp macro="" textlink="">
      <xdr:nvSpPr>
        <xdr:cNvPr id="22569" name="AutoShape 41">
          <a:extLst>
            <a:ext uri="{FF2B5EF4-FFF2-40B4-BE49-F238E27FC236}">
              <a16:creationId xmlns:a16="http://schemas.microsoft.com/office/drawing/2014/main" id="{DCDC5061-8155-B23E-F01F-1646E7859630}"/>
            </a:ext>
          </a:extLst>
        </xdr:cNvPr>
        <xdr:cNvSpPr>
          <a:spLocks noChangeArrowheads="1"/>
        </xdr:cNvSpPr>
      </xdr:nvSpPr>
      <xdr:spPr bwMode="auto">
        <a:xfrm rot="16200000">
          <a:off x="4762500" y="21031200"/>
          <a:ext cx="457200" cy="1200150"/>
        </a:xfrm>
        <a:prstGeom prst="upArrow">
          <a:avLst>
            <a:gd name="adj1" fmla="val 50000"/>
            <a:gd name="adj2" fmla="val 65625"/>
          </a:avLst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PH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Click only 1 button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0</xdr:row>
          <xdr:rowOff>0</xdr:rowOff>
        </xdr:from>
        <xdr:to>
          <xdr:col>3</xdr:col>
          <xdr:colOff>438150</xdr:colOff>
          <xdr:row>1</xdr:row>
          <xdr:rowOff>57150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  <a:ext uri="{FF2B5EF4-FFF2-40B4-BE49-F238E27FC236}">
                  <a16:creationId xmlns:a16="http://schemas.microsoft.com/office/drawing/2014/main" id="{2F1B97EA-F078-8144-7635-0BC7F695E9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19050</xdr:colOff>
          <xdr:row>1</xdr:row>
          <xdr:rowOff>57150</xdr:rowOff>
        </xdr:from>
        <xdr:to>
          <xdr:col>3</xdr:col>
          <xdr:colOff>438150</xdr:colOff>
          <xdr:row>2</xdr:row>
          <xdr:rowOff>123825</xdr:rowOff>
        </xdr:to>
        <xdr:sp macro="" textlink="">
          <xdr:nvSpPr>
            <xdr:cNvPr id="22530" name="Button 2" hidden="1">
              <a:extLst>
                <a:ext uri="{63B3BB69-23CF-44E3-9099-C40C66FF867C}">
                  <a14:compatExt spid="_x0000_s22530"/>
                </a:ext>
                <a:ext uri="{FF2B5EF4-FFF2-40B4-BE49-F238E27FC236}">
                  <a16:creationId xmlns:a16="http://schemas.microsoft.com/office/drawing/2014/main" id="{508F065B-F226-14E4-7C73-DB02EB167B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133350</xdr:rowOff>
        </xdr:from>
        <xdr:to>
          <xdr:col>7</xdr:col>
          <xdr:colOff>228600</xdr:colOff>
          <xdr:row>140</xdr:row>
          <xdr:rowOff>19050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7F65DF0C-9E3B-C79C-7CFE-146EE9877D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Aggregate Indebtedness:  Net Capital Ratio &lt; 800%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140</xdr:row>
          <xdr:rowOff>133350</xdr:rowOff>
        </xdr:from>
        <xdr:to>
          <xdr:col>6</xdr:col>
          <xdr:colOff>104775</xdr:colOff>
          <xdr:row>142</xdr:row>
          <xdr:rowOff>19050</xdr:rowOff>
        </xdr:to>
        <xdr:sp macro="" textlink="">
          <xdr:nvSpPr>
            <xdr:cNvPr id="22535" name="Check Box 7" hidden="1">
              <a:extLst>
                <a:ext uri="{63B3BB69-23CF-44E3-9099-C40C66FF867C}">
                  <a14:compatExt spid="_x0000_s22535"/>
                </a:ext>
                <a:ext uri="{FF2B5EF4-FFF2-40B4-BE49-F238E27FC236}">
                  <a16:creationId xmlns:a16="http://schemas.microsoft.com/office/drawing/2014/main" id="{C61F8FDB-359C-F7B2-80A2-8F400A303C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Aggregate Customer Funds &lt; P25 million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134</xdr:row>
          <xdr:rowOff>133350</xdr:rowOff>
        </xdr:from>
        <xdr:to>
          <xdr:col>6</xdr:col>
          <xdr:colOff>371475</xdr:colOff>
          <xdr:row>136</xdr:row>
          <xdr:rowOff>57150</xdr:rowOff>
        </xdr:to>
        <xdr:sp macro="" textlink="">
          <xdr:nvSpPr>
            <xdr:cNvPr id="22567" name="Check Box 39" hidden="1">
              <a:extLst>
                <a:ext uri="{63B3BB69-23CF-44E3-9099-C40C66FF867C}">
                  <a14:compatExt spid="_x0000_s22567"/>
                </a:ext>
                <a:ext uri="{FF2B5EF4-FFF2-40B4-BE49-F238E27FC236}">
                  <a16:creationId xmlns:a16="http://schemas.microsoft.com/office/drawing/2014/main" id="{6E932C25-E11C-CA80-5CA9-186C792B61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  Weekly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276225</xdr:colOff>
          <xdr:row>134</xdr:row>
          <xdr:rowOff>142875</xdr:rowOff>
        </xdr:from>
        <xdr:to>
          <xdr:col>8</xdr:col>
          <xdr:colOff>485775</xdr:colOff>
          <xdr:row>136</xdr:row>
          <xdr:rowOff>57150</xdr:rowOff>
        </xdr:to>
        <xdr:sp macro="" textlink="">
          <xdr:nvSpPr>
            <xdr:cNvPr id="22568" name="Check Box 40" hidden="1">
              <a:extLst>
                <a:ext uri="{63B3BB69-23CF-44E3-9099-C40C66FF867C}">
                  <a14:compatExt spid="_x0000_s22568"/>
                </a:ext>
                <a:ext uri="{FF2B5EF4-FFF2-40B4-BE49-F238E27FC236}">
                  <a16:creationId xmlns:a16="http://schemas.microsoft.com/office/drawing/2014/main" id="{706CB840-0E4F-4B5C-B10A-44F957051A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CC" mc:Ignorable="a14" a14:legacySpreadsheetColorIndex="26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Monthly</a:t>
              </a:r>
            </a:p>
          </xdr:txBody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878205</xdr:colOff>
      <xdr:row>16</xdr:row>
      <xdr:rowOff>41275</xdr:rowOff>
    </xdr:from>
    <xdr:ext cx="5040518" cy="391699"/>
    <xdr:sp macro="" textlink="">
      <xdr:nvSpPr>
        <xdr:cNvPr id="24580" name="Rectangle 4">
          <a:extLst>
            <a:ext uri="{FF2B5EF4-FFF2-40B4-BE49-F238E27FC236}">
              <a16:creationId xmlns:a16="http://schemas.microsoft.com/office/drawing/2014/main" id="{1E444E31-A4D1-E021-ECF1-DCD4D84B1EF8}"/>
            </a:ext>
          </a:extLst>
        </xdr:cNvPr>
        <xdr:cNvSpPr>
          <a:spLocks noChangeArrowheads="1"/>
        </xdr:cNvSpPr>
      </xdr:nvSpPr>
      <xdr:spPr bwMode="auto">
        <a:xfrm>
          <a:off x="1414145" y="2105025"/>
          <a:ext cx="4948792" cy="39542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45720" tIns="41148" rIns="45720" bIns="0" anchor="t" upright="1">
          <a:spAutoFit/>
        </a:bodyPr>
        <a:lstStyle/>
        <a:p>
          <a:pPr algn="ctr" rtl="0">
            <a:defRPr sz="1000"/>
          </a:pPr>
          <a:r>
            <a:rPr lang="en-PH" sz="2400" b="0" i="0" u="none" strike="noStrike" baseline="0">
              <a:solidFill>
                <a:srgbClr val="0000FF"/>
              </a:solidFill>
              <a:latin typeface="Arial"/>
              <a:cs typeface="Arial"/>
            </a:rPr>
            <a:t>PAGE UNDER CONSTRUCTION...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657225</xdr:colOff>
          <xdr:row>0</xdr:row>
          <xdr:rowOff>0</xdr:rowOff>
        </xdr:from>
        <xdr:to>
          <xdr:col>1</xdr:col>
          <xdr:colOff>1781175</xdr:colOff>
          <xdr:row>1</xdr:row>
          <xdr:rowOff>66675</xdr:rowOff>
        </xdr:to>
        <xdr:sp macro="" textlink="">
          <xdr:nvSpPr>
            <xdr:cNvPr id="24577" name="Button 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7E7F56DB-E40E-F18A-686A-7B8253E7E5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RBC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1819275</xdr:colOff>
          <xdr:row>0</xdr:row>
          <xdr:rowOff>0</xdr:rowOff>
        </xdr:from>
        <xdr:to>
          <xdr:col>2</xdr:col>
          <xdr:colOff>266700</xdr:colOff>
          <xdr:row>1</xdr:row>
          <xdr:rowOff>66675</xdr:rowOff>
        </xdr:to>
        <xdr:sp macro="" textlink="">
          <xdr:nvSpPr>
            <xdr:cNvPr id="24578" name="Button 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277DAD9-C0D5-5E08-A7F8-E5883FF87A5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1" i="0" u="none" strike="noStrike" baseline="0">
                  <a:solidFill>
                    <a:srgbClr val="FF0000"/>
                  </a:solidFill>
                  <a:latin typeface="Arial"/>
                  <a:cs typeface="Arial"/>
                </a:rPr>
                <a:t>Go To Navigation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dy\excel\AbnAmro-Report%20Package\2001\p-april01-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EC%20Report\2001\November\SECNC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EC%20Report\2001\December\SECN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CH1"/>
      <sheetName val="SCH2"/>
      <sheetName val="SCH3"/>
      <sheetName val="SCH4"/>
      <sheetName val="SCH5"/>
      <sheetName val="SCH6a"/>
      <sheetName val="SCH6b"/>
      <sheetName val="SCH6c"/>
      <sheetName val="SCH7"/>
      <sheetName val="SCH8"/>
      <sheetName val="SCH9"/>
      <sheetName val="SCH10"/>
      <sheetName val="SCH11"/>
      <sheetName val="SCH12"/>
      <sheetName val="SCH13"/>
      <sheetName val="SCH14"/>
      <sheetName val="SCH15"/>
      <sheetName val="SCH16"/>
      <sheetName val="APPI"/>
      <sheetName val="tb"/>
      <sheetName val="is"/>
      <sheetName val="actual-is"/>
      <sheetName val="actual-bs"/>
      <sheetName val="expmo"/>
      <sheetName val="expytd"/>
      <sheetName val="initial"/>
      <sheetName val="FS"/>
      <sheetName val="02sched"/>
      <sheetName val="ms"/>
      <sheetName val="ms-phisix"/>
      <sheetName val="collval.sht"/>
      <sheetName val="collval"/>
      <sheetName val="bank recon"/>
      <sheetName val="ar others coll"/>
      <sheetName val="DrHaircut"/>
      <sheetName val="aging"/>
      <sheetName val="DrRCBA"/>
      <sheetName val="ALLO"/>
      <sheetName val="PLINK1"/>
      <sheetName val="E-10"/>
      <sheetName val="SCI"/>
      <sheetName val="collval_sht"/>
      <sheetName val="bank_recon"/>
      <sheetName val="ar_others_coll"/>
      <sheetName val="NOV"/>
      <sheetName val="air_loans"/>
      <sheetName val="RE recon"/>
      <sheetName val="wbs fsa"/>
      <sheetName val="plink2"/>
      <sheetName val="MIS-monthly"/>
      <sheetName val="Board-monthly"/>
      <sheetName val="ris"/>
      <sheetName val="p-april01-2"/>
      <sheetName val="bs-gaap"/>
      <sheetName val="tor -dep'n"/>
      <sheetName val="Data"/>
      <sheetName val="Intern"/>
      <sheetName val="Other Investment"/>
      <sheetName val="Lib"/>
      <sheetName val="wp-r&amp;f1"/>
      <sheetName val="collval_sht1"/>
      <sheetName val="bank_recon1"/>
      <sheetName val="ar_others_coll1"/>
      <sheetName val="RE_recon"/>
      <sheetName val="wbs_fsa"/>
      <sheetName val="table"/>
      <sheetName val="Trial Bal."/>
      <sheetName val="2010 Monthly Revenue"/>
      <sheetName val="2009 Quarterly Results"/>
      <sheetName val="20040630"/>
      <sheetName val="기준정보"/>
      <sheetName val="#REF"/>
      <sheetName val="Setup"/>
      <sheetName val="collval_sht2"/>
      <sheetName val="bank_recon2"/>
      <sheetName val="ar_others_coll2"/>
      <sheetName val="tor_-dep'n"/>
      <sheetName val="Other_Investment"/>
      <sheetName val="Back-out"/>
      <sheetName val="wtb"/>
      <sheetName val="TMS"/>
      <sheetName val="Order Ticket and Invoice"/>
      <sheetName val="collval_sht3"/>
      <sheetName val="bank_recon3"/>
      <sheetName val="ar_others_coll3"/>
      <sheetName val="RE_recon1"/>
      <sheetName val="wbs_fsa1"/>
      <sheetName val="tor_-dep'n1"/>
      <sheetName val="Other_Investment1"/>
      <sheetName val="collval_sht4"/>
      <sheetName val="bank_recon4"/>
      <sheetName val="ar_others_coll4"/>
      <sheetName val="RE_recon2"/>
      <sheetName val="wbs_fsa2"/>
      <sheetName val="tor_-dep'n2"/>
      <sheetName val="Other_Investment2"/>
      <sheetName val="collval_sht5"/>
      <sheetName val="bank_recon5"/>
      <sheetName val="ar_others_coll5"/>
      <sheetName val="RE_recon3"/>
      <sheetName val="wbs_fsa3"/>
      <sheetName val="tor_-dep'n3"/>
      <sheetName val="Other_Investment3"/>
      <sheetName val="Constants"/>
      <sheetName val="BNISS98"/>
      <sheetName val="MASTERLIST"/>
      <sheetName val="Main"/>
      <sheetName val="TOTAL"/>
      <sheetName val="supposed"/>
      <sheetName val="collval_sht6"/>
      <sheetName val="bank_recon6"/>
      <sheetName val="ar_others_coll6"/>
      <sheetName val="RE_recon4"/>
      <sheetName val="wbs_fsa4"/>
      <sheetName val="tor_-dep'n4"/>
      <sheetName val="Other_Investment4"/>
      <sheetName val="Trial_Bal_"/>
      <sheetName val="2010_Monthly_Revenue"/>
      <sheetName val="2009_Quarterly_Results"/>
      <sheetName val="Order_Ticket_and_Invoice"/>
      <sheetName val="Sheet3"/>
      <sheetName val="collval_sht7"/>
      <sheetName val="bank_recon7"/>
      <sheetName val="ar_others_coll7"/>
      <sheetName val="RE_recon5"/>
      <sheetName val="wbs_fsa5"/>
      <sheetName val="tor_-dep'n5"/>
      <sheetName val="Other_Investment5"/>
      <sheetName val="Trial_Bal_1"/>
      <sheetName val="2010_Monthly_Revenue1"/>
      <sheetName val="2009_Quarterly_Results1"/>
      <sheetName val="collval_sht8"/>
      <sheetName val="bank_recon8"/>
      <sheetName val="ar_others_coll8"/>
      <sheetName val="RE_recon6"/>
      <sheetName val="wbs_fsa6"/>
      <sheetName val="tor_-dep'n6"/>
      <sheetName val="Other_Investment6"/>
      <sheetName val="Trial_Bal_2"/>
      <sheetName val="2010_Monthly_Revenue2"/>
      <sheetName val="2009_Quarterly_Results2"/>
      <sheetName val="collval_sht9"/>
      <sheetName val="bank_recon9"/>
      <sheetName val="ar_others_coll9"/>
      <sheetName val="RE_recon7"/>
      <sheetName val="wbs_fsa7"/>
      <sheetName val="tor_-dep'n7"/>
      <sheetName val="Other_Investment7"/>
      <sheetName val="Trial_Bal_3"/>
      <sheetName val="2010_Monthly_Revenue3"/>
      <sheetName val="2009_Quarterly_Results3"/>
      <sheetName val="Page 1"/>
      <sheetName val="Page 2"/>
      <sheetName val="collval_sht10"/>
      <sheetName val="bank_recon10"/>
      <sheetName val="ar_others_coll10"/>
      <sheetName val="RE_recon8"/>
      <sheetName val="wbs_fsa8"/>
      <sheetName val="tor_-dep'n8"/>
      <sheetName val="Other_Investment8"/>
      <sheetName val="Trial_Bal_4"/>
      <sheetName val="2010_Monthly_Revenue4"/>
      <sheetName val="2009_Quarterly_Results4"/>
      <sheetName val="collval_sht11"/>
      <sheetName val="bank_recon11"/>
      <sheetName val="ar_others_coll11"/>
      <sheetName val="RE_recon9"/>
      <sheetName val="wbs_fsa9"/>
      <sheetName val="tor_-dep'n9"/>
      <sheetName val="Other_Investment9"/>
      <sheetName val="Trial_Bal_5"/>
      <sheetName val="2010_Monthly_Revenue5"/>
      <sheetName val="2009_Quarterly_Results5"/>
      <sheetName val="collval_sht14"/>
      <sheetName val="bank_recon14"/>
      <sheetName val="ar_others_coll14"/>
      <sheetName val="RE_recon12"/>
      <sheetName val="wbs_fsa12"/>
      <sheetName val="tor_-dep'n12"/>
      <sheetName val="Other_Investment12"/>
      <sheetName val="Trial_Bal_8"/>
      <sheetName val="2010_Monthly_Revenue8"/>
      <sheetName val="2009_Quarterly_Results8"/>
      <sheetName val="collval_sht12"/>
      <sheetName val="bank_recon12"/>
      <sheetName val="ar_others_coll12"/>
      <sheetName val="RE_recon10"/>
      <sheetName val="wbs_fsa10"/>
      <sheetName val="tor_-dep'n10"/>
      <sheetName val="Other_Investment10"/>
      <sheetName val="Trial_Bal_6"/>
      <sheetName val="2010_Monthly_Revenue6"/>
      <sheetName val="2009_Quarterly_Results6"/>
      <sheetName val="collval_sht13"/>
      <sheetName val="bank_recon13"/>
      <sheetName val="ar_others_coll13"/>
      <sheetName val="RE_recon11"/>
      <sheetName val="wbs_fsa11"/>
      <sheetName val="tor_-dep'n11"/>
      <sheetName val="Other_Investment11"/>
      <sheetName val="Trial_Bal_7"/>
      <sheetName val="2010_Monthly_Revenue7"/>
      <sheetName val="2009_Quarterly_Results7"/>
      <sheetName val="collval_sht15"/>
      <sheetName val="bank_recon15"/>
      <sheetName val="ar_others_coll15"/>
      <sheetName val="RE_recon13"/>
      <sheetName val="wbs_fsa13"/>
      <sheetName val="tor_-dep'n13"/>
      <sheetName val="Other_Investment13"/>
      <sheetName val="Trial_Bal_9"/>
      <sheetName val="2010_Monthly_Revenue9"/>
      <sheetName val="2009_Quarterly_Results9"/>
      <sheetName val="blank"/>
      <sheetName val="coa-new"/>
      <sheetName val="acc-pre"/>
      <sheetName val="cust"/>
      <sheetName val="empcode"/>
      <sheetName val="supcode"/>
      <sheetName val="MP"/>
      <sheetName val="JUN2013"/>
      <sheetName val="OCT2012"/>
      <sheetName val="NOV2012"/>
      <sheetName val="MAR2013"/>
      <sheetName val="JAN2013"/>
      <sheetName val="APR2013"/>
      <sheetName val="DEC2012"/>
      <sheetName val="1| Lead"/>
      <sheetName val="raw"/>
      <sheetName val="Cur month vs Last month"/>
      <sheetName val="P&amp;L_Nov09"/>
      <sheetName val="mfg09"/>
      <sheetName val="age"/>
      <sheetName val="Comparative Details AvsB"/>
      <sheetName val="OUTSIDE SERVICES"/>
      <sheetName val="FSA"/>
      <sheetName val="Lookups"/>
      <sheetName val="prime"/>
      <sheetName val="Sheet1"/>
      <sheetName val="PM-TE"/>
      <sheetName val="3 ALABANG TOWN CENTER"/>
      <sheetName val="1 SHANGRILA"/>
      <sheetName val="2 POWERPLANT MALL"/>
      <sheetName val="5 AYALA CENTER CEBU"/>
      <sheetName val="6 MARQUEE ANGELES"/>
      <sheetName val="7 TRINOMA MALL"/>
      <sheetName val="8 AYALA ABREEZA"/>
      <sheetName val="9 NUVALI STA. ROSA"/>
      <sheetName val="12 EASTWOOD"/>
      <sheetName val="13 GLORIETTA"/>
      <sheetName val="10 MAGNOLIA"/>
      <sheetName val="11 FORBES"/>
      <sheetName val="14 CENTRIO CDO"/>
      <sheetName val="True Value-Conso"/>
      <sheetName val="anc_table"/>
      <sheetName val="PSS total chain for Sales and I"/>
      <sheetName val="MO Pivot"/>
      <sheetName val="YTD Pivot"/>
      <sheetName val="CRA-Detail"/>
      <sheetName val="Cash Flow"/>
      <sheetName val=" BANK RECON june"/>
      <sheetName val="FINAL "/>
      <sheetName val="consolidated"/>
      <sheetName val="PACK"/>
      <sheetName val="pagi"/>
      <sheetName val="RMU MOLDING"/>
      <sheetName val="sap-macoct"/>
      <sheetName val="COMPU whole"/>
      <sheetName val="GLI Interface"/>
      <sheetName val="1_RHD_WTB"/>
      <sheetName val="T-Accts"/>
      <sheetName val="YTD Pivots"/>
      <sheetName val="CPIP"/>
      <sheetName val="valuation"/>
      <sheetName val="TOC"/>
      <sheetName val="Budget 2018"/>
      <sheetName val="Rev._Part No. Masterlist "/>
      <sheetName val="Page_1"/>
      <sheetName val="Page_2"/>
      <sheetName val="Xuat152"/>
      <sheetName val="BS"/>
      <sheetName val="Sales comp"/>
      <sheetName val="nts_ar"/>
      <sheetName val="RTC - OK"/>
      <sheetName val="A"/>
      <sheetName val="wbs"/>
      <sheetName val="ADM.06"/>
      <sheetName val="adm.07"/>
      <sheetName val="Adf par resp"/>
      <sheetName val="CDB(14904-15165)"/>
      <sheetName val="MOSREPT"/>
      <sheetName val="LIORREPT"/>
      <sheetName val="T"/>
      <sheetName val="U"/>
      <sheetName val="RI"/>
      <sheetName val="OL"/>
      <sheetName val="icc"/>
      <sheetName val="LINK MOR"/>
      <sheetName val="LINK GAP"/>
      <sheetName val="SII"/>
      <sheetName val="SEP"/>
      <sheetName val="NATL-00"/>
      <sheetName val="palac"/>
      <sheetName val="Links"/>
      <sheetName val="Lead"/>
      <sheetName val="Data Validation"/>
      <sheetName val="AER_SGD - AFE"/>
      <sheetName val="Sheet2"/>
      <sheetName val="AER"/>
      <sheetName val="collval_sht16"/>
      <sheetName val="bank_recon16"/>
      <sheetName val="ar_others_coll16"/>
      <sheetName val="RE_recon14"/>
      <sheetName val="wbs_fsa14"/>
      <sheetName val="tor_-dep'n14"/>
      <sheetName val="Other_Investment14"/>
      <sheetName val="Trial_Bal_10"/>
      <sheetName val="2010_Monthly_Revenue10"/>
      <sheetName val="2009_Quarterly_Results10"/>
      <sheetName val="G_Adv to OE"/>
      <sheetName val="Country Risk Weight"/>
      <sheetName val="事業会社リスト"/>
      <sheetName val="PSS_total_chain_for_Sales_and_I"/>
      <sheetName val="MO_Pivot"/>
      <sheetName val="YTD_Pivot"/>
      <sheetName val="3_ALABANG_TOWN_CENTER"/>
      <sheetName val="1_SHANGRILA"/>
      <sheetName val="2_POWERPLANT_MALL"/>
      <sheetName val="5_AYALA_CENTER_CEBU"/>
      <sheetName val="6_MARQUEE_ANGELES"/>
      <sheetName val="7_TRINOMA_MALL"/>
      <sheetName val="8_AYALA_ABREEZA"/>
      <sheetName val="9_NUVALI_STA__ROSA"/>
      <sheetName val="12_EASTWOOD"/>
      <sheetName val="13_GLORIETTA"/>
      <sheetName val="10_MAGNOLIA"/>
      <sheetName val="11_FORBES"/>
      <sheetName val="14_CENTRIO_CDO"/>
      <sheetName val="True_Value-Conso"/>
      <sheetName val="_BANK_RECON_june"/>
      <sheetName val="FINAL_"/>
      <sheetName val="RMU_MOLDING"/>
      <sheetName val="GLI_Interface"/>
      <sheetName val="COMPU_whole"/>
      <sheetName val="YTD_Pivots"/>
      <sheetName val="Cash_Flow"/>
      <sheetName val="K.4"/>
      <sheetName val="K.5"/>
      <sheetName val="collval_sht17"/>
      <sheetName val="bank_recon17"/>
      <sheetName val="ar_others_coll17"/>
      <sheetName val="RE_recon15"/>
      <sheetName val="wbs_fsa15"/>
      <sheetName val="tor_-dep'n15"/>
      <sheetName val="Other_Investment15"/>
      <sheetName val="Trial_Bal_11"/>
      <sheetName val="2010_Monthly_Revenue11"/>
      <sheetName val="2009_Quarterly_Results11"/>
      <sheetName val="Page_11"/>
      <sheetName val="Page_21"/>
      <sheetName val="Order_Ticket_and_Invoice1"/>
      <sheetName val="co 10"/>
      <sheetName val="Forex"/>
      <sheetName val="help"/>
      <sheetName val="SPI"/>
      <sheetName val="基本設定"/>
      <sheetName val="ITR"/>
      <sheetName val="Mstd"/>
      <sheetName val="JAN405"/>
      <sheetName val="JB"/>
      <sheetName val="Cum.91-93"/>
      <sheetName val="Dec 94"/>
      <sheetName val="Validation"/>
      <sheetName val="2006_allocation상세내역"/>
      <sheetName val="PDPC0908"/>
      <sheetName val="Annex C-1(4of5)"/>
      <sheetName val="JUNE"/>
      <sheetName val="Peso"/>
      <sheetName val="dp stage"/>
      <sheetName val="oc_amort stage"/>
      <sheetName val="payment holiday"/>
      <sheetName val="AR_registry2009"/>
      <sheetName val="Beginning Balance"/>
      <sheetName val="PAJE-16"/>
      <sheetName val="PIVOT"/>
      <sheetName val="COA"/>
      <sheetName val="bs and gl"/>
      <sheetName val="FAI collection"/>
      <sheetName val="COS"/>
      <sheetName val="gpperprofilenov'08"/>
      <sheetName val="Definitions"/>
      <sheetName val="SORTED"/>
      <sheetName val="dp_stage"/>
      <sheetName val="oc_amort_stage"/>
      <sheetName val="payment_holiday"/>
      <sheetName val="Beginning_Balance"/>
      <sheetName val="WPL"/>
      <sheetName val="TB1_WORKING"/>
      <sheetName val="TB2_WORKING"/>
      <sheetName val="B"/>
      <sheetName val="HK-HKD"/>
      <sheetName val="gl code"/>
      <sheetName val="tmpscrapsheet"/>
      <sheetName val="GL"/>
      <sheetName val="Ls_AgXLB_WorkbookFile"/>
      <sheetName val="SALE11"/>
      <sheetName val="61 HR"/>
      <sheetName val="65 FINANCE"/>
      <sheetName val="FORMC94"/>
      <sheetName val="FF-2 (1)"/>
      <sheetName val="Others (USD)"/>
      <sheetName val="Travel (USD)"/>
      <sheetName val="DETAIL"/>
      <sheetName val="COMPCO"/>
      <sheetName val="sm"/>
      <sheetName val="BB TURNS &amp; WEEKS"/>
      <sheetName val="cash"/>
      <sheetName val="Depreciation Testing"/>
      <sheetName val="3010A"/>
      <sheetName val="3010E"/>
      <sheetName val="SAP"/>
      <sheetName val="LOG"/>
      <sheetName val="미지급비용6월"/>
      <sheetName val="대차대조표"/>
      <sheetName val="Conversion to EUR"/>
      <sheetName val="Inv Trend "/>
      <sheetName val="CA-O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 refreshError="1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RTED"/>
      <sheetName val="Header"/>
      <sheetName val="Cover"/>
      <sheetName val="SEC Form 24 FINOP"/>
      <sheetName val="net cap"/>
      <sheetName val="Net_Cap_Rep"/>
      <sheetName val="VALUATION"/>
      <sheetName val="FS"/>
      <sheetName val="Dealer"/>
      <sheetName val="CACG"/>
      <sheetName val="Sheet1"/>
      <sheetName val="Mapping"/>
      <sheetName val="Trial Balance"/>
      <sheetName val="Financial Statements"/>
      <sheetName val="Navigation"/>
      <sheetName val="RBC"/>
      <sheetName val="Others"/>
      <sheetName val="Data"/>
      <sheetName val="SL"/>
      <sheetName val="Reference"/>
      <sheetName val="MS-25%"/>
      <sheetName val="MS-Others"/>
      <sheetName val="Core Equity"/>
      <sheetName val="Cash in Bank"/>
      <sheetName val="Placement"/>
      <sheetName val="Receivables"/>
      <sheetName val="Schedule 4_Security Valuation-C"/>
      <sheetName val="Schedule 4_Security Valuation-B"/>
      <sheetName val="ORR"/>
      <sheetName val="CRR"/>
      <sheetName val="PRR"/>
      <sheetName val="LERR-CLIENT"/>
      <sheetName val="LERR-ISSUER"/>
      <sheetName val="LERR-DEBT"/>
      <sheetName val="Recon"/>
      <sheetName val="Reserve Formula"/>
      <sheetName val="reserve formula-detailed"/>
      <sheetName val="FINOP"/>
      <sheetName val="0104sched"/>
      <sheetName val="tb"/>
      <sheetName val="ms"/>
      <sheetName val="ms-phisix"/>
      <sheetName val="collval.sht"/>
      <sheetName val="collval"/>
      <sheetName val="bank recon"/>
      <sheetName val="DrHaircut"/>
      <sheetName val="DrRCBA"/>
      <sheetName val="ALLO"/>
      <sheetName val="Trial Bal."/>
      <sheetName val="BNISS98"/>
      <sheetName val="table"/>
      <sheetName val="site works"/>
      <sheetName val="Marketable Sec."/>
      <sheetName val="SCHED"/>
      <sheetName val="eir per audit"/>
      <sheetName val="SECNCR"/>
      <sheetName val="Ageing Rpt(2)"/>
      <sheetName val="Tariff Adjustment"/>
      <sheetName val="General Inputs"/>
      <sheetName val="Lead"/>
      <sheetName val="Bill 10 - Specialties"/>
      <sheetName val="Adv MO"/>
      <sheetName val="Lookups"/>
      <sheetName val="TB for SGV"/>
      <sheetName val="qry_Tot_Cost"/>
      <sheetName val="Prem EIR"/>
      <sheetName val="PM-TE"/>
      <sheetName val="NOV"/>
      <sheetName val="RE recon"/>
      <sheetName val="wbs fsa"/>
      <sheetName val="PM-TE-SAD_Conso"/>
      <sheetName val="B20"/>
      <sheetName val="B50"/>
      <sheetName val="B36"/>
      <sheetName val="PLINK1"/>
      <sheetName val="Prem EIRs"/>
      <sheetName val="Prem"/>
      <sheetName val="Other Investment"/>
      <sheetName val="DEALERSTERM"/>
      <sheetName val="Validation"/>
      <sheetName val="DETAILS"/>
      <sheetName val="Dates"/>
      <sheetName val="T-Accts"/>
      <sheetName val="SEC_Form_24_FINOP"/>
      <sheetName val="net_cap"/>
      <sheetName val="Trial_Balance"/>
      <sheetName val="Financial_Statements"/>
      <sheetName val="Core_Equity"/>
      <sheetName val="Cash_in_Bank"/>
      <sheetName val="Schedule_4_Security_Valuation-C"/>
      <sheetName val="Schedule_4_Security_Valuation-B"/>
      <sheetName val="Reserve_Formula"/>
      <sheetName val="reserve_formula-detailed"/>
      <sheetName val="collval_sht"/>
      <sheetName val="bank_recon"/>
      <sheetName val="site_works"/>
      <sheetName val="Trial_Bal_"/>
      <sheetName val="TB_for_SGV"/>
      <sheetName val="INCST"/>
      <sheetName val="EXP"/>
      <sheetName val="BDO"/>
      <sheetName val="mizuho"/>
      <sheetName val="Key Stats-PSS"/>
      <sheetName val="DATA1"/>
      <sheetName val="PACK"/>
      <sheetName val="AVE SALES"/>
      <sheetName val="Links"/>
      <sheetName val="Form Admin"/>
      <sheetName val="000"/>
      <sheetName val="001"/>
      <sheetName val="002"/>
      <sheetName val="003"/>
      <sheetName val="SUMM"/>
      <sheetName val="MTD"/>
      <sheetName val="YTD"/>
      <sheetName val="RTV SALES BUDGET"/>
      <sheetName val="RTVH1505"/>
      <sheetName val="SCHEDULE"/>
      <sheetName val="Sales and Margin MOM Trend"/>
      <sheetName val="Sales and Margin YTD"/>
      <sheetName val="반도체"/>
      <sheetName val="1999 Earn Asset bal int yield"/>
      <sheetName val="Interest Rate Projection"/>
      <sheetName val="Entry"/>
      <sheetName val="ControlData"/>
      <sheetName val="A3"/>
      <sheetName val="nts_ar"/>
      <sheetName val="Marketable_Sec_"/>
      <sheetName val="eir_per_audit"/>
      <sheetName val="Ageing_Rpt(2)"/>
      <sheetName val="Leadsked"/>
      <sheetName val="WTB"/>
      <sheetName val="mstd"/>
      <sheetName val="SEC_Form_24_FINOP1"/>
      <sheetName val="net_cap1"/>
      <sheetName val="Trial_Balance1"/>
      <sheetName val="Financial_Statements1"/>
      <sheetName val="Core_Equity1"/>
      <sheetName val="Cash_in_Bank1"/>
      <sheetName val="Schedule_4_Security_Valuation-1"/>
      <sheetName val="Schedule_4_Security_Valuation-2"/>
      <sheetName val="Reserve_Formula1"/>
      <sheetName val="reserve_formula-detailed1"/>
      <sheetName val="collval_sht1"/>
      <sheetName val="bank_recon1"/>
      <sheetName val="Trial_Bal_1"/>
      <sheetName val="site_works1"/>
      <sheetName val="Marketable_Sec_1"/>
      <sheetName val="TB_for_SGV1"/>
      <sheetName val="Prem_EIR1"/>
      <sheetName val="RE_recon1"/>
      <sheetName val="wbs_fsa1"/>
      <sheetName val="Prem_EIRs1"/>
      <sheetName val="eir_per_audit1"/>
      <sheetName val="Ageing_Rpt(2)1"/>
      <sheetName val="Other_Investment"/>
      <sheetName val="Tariff_Adjustment"/>
      <sheetName val="General_Inputs"/>
      <sheetName val="Bill_10_-_Specialties"/>
      <sheetName val="Prem_EIR"/>
      <sheetName val="RE_recon"/>
      <sheetName val="wbs_fsa"/>
      <sheetName val="Prem_EIRs"/>
      <sheetName val="eWTB"/>
      <sheetName val="GL Inventory"/>
      <sheetName val="Physical Consolidated "/>
      <sheetName val="Peso"/>
      <sheetName val="A04.2_CPI Mapping"/>
      <sheetName val="变数"/>
      <sheetName val="2.29.12"/>
      <sheetName val="BS-rap (2)"/>
      <sheetName val="supporting sched for Part III.1"/>
      <sheetName val="risk weighted"/>
      <sheetName val="BS-rap (5)"/>
      <sheetName val="Part III.1"/>
      <sheetName val="BS-rap_3.31.12"/>
      <sheetName val="026"/>
      <sheetName val="067"/>
      <sheetName val="Stocks"/>
      <sheetName val="sales "/>
      <sheetName val=""/>
      <sheetName val="Constants"/>
      <sheetName val="SEC_Form_24_FINOP2"/>
      <sheetName val="net_cap2"/>
      <sheetName val="Trial_Balance2"/>
      <sheetName val="Financial_Statements2"/>
      <sheetName val="Core_Equity2"/>
      <sheetName val="Cash_in_Bank2"/>
      <sheetName val="Schedule_4_Security_Valuation-3"/>
      <sheetName val="Schedule_4_Security_Valuation-4"/>
      <sheetName val="Reserve_Formula2"/>
      <sheetName val="reserve_formula-detailed2"/>
      <sheetName val="collval_sht2"/>
      <sheetName val="bank_recon2"/>
      <sheetName val="Trial_Bal_2"/>
      <sheetName val="Marketable_Sec_2"/>
      <sheetName val="SEC_Form_24_FINOP3"/>
      <sheetName val="net_cap3"/>
      <sheetName val="Trial_Balance3"/>
      <sheetName val="Financial_Statements3"/>
      <sheetName val="Core_Equity3"/>
      <sheetName val="Cash_in_Bank3"/>
      <sheetName val="Schedule_4_Security_Valuation-5"/>
      <sheetName val="Schedule_4_Security_Valuation-6"/>
      <sheetName val="Reserve_Formula3"/>
      <sheetName val="reserve_formula-detailed3"/>
      <sheetName val="collval_sht3"/>
      <sheetName val="bank_recon3"/>
      <sheetName val="Trial_Bal_3"/>
      <sheetName val="Marketable_Sec_3"/>
      <sheetName val="Form_Admin"/>
      <sheetName val="Form_Admin1"/>
      <sheetName val="Tariff_Adjustment1"/>
      <sheetName val="General_Inputs1"/>
      <sheetName val="Bill_10_-_Specialties1"/>
      <sheetName val="SEC_Form_24_FINOP4"/>
      <sheetName val="net_cap4"/>
      <sheetName val="Trial_Balance4"/>
      <sheetName val="Financial_Statements4"/>
      <sheetName val="Core_Equity4"/>
      <sheetName val="Cash_in_Bank4"/>
      <sheetName val="Schedule_4_Security_Valuation-7"/>
      <sheetName val="Schedule_4_Security_Valuation-8"/>
      <sheetName val="Reserve_Formula4"/>
      <sheetName val="reserve_formula-detailed4"/>
      <sheetName val="collval_sht4"/>
      <sheetName val="bank_recon4"/>
      <sheetName val="Trial_Bal_4"/>
      <sheetName val="Marketable_Sec_4"/>
      <sheetName val="site_works2"/>
      <sheetName val="Form_Admin2"/>
      <sheetName val="Tariff_Adjustment2"/>
      <sheetName val="General_Inputs2"/>
      <sheetName val="Bill_10_-_Specialties2"/>
      <sheetName val="1999_Earn_Asset_bal_int_yield"/>
      <sheetName val="Interest_Rate_Projection"/>
      <sheetName val="Adv_MO"/>
      <sheetName val="cheeseburger"/>
      <sheetName val="chicken meal"/>
      <sheetName val="spaghetti meal"/>
      <sheetName val="P&amp;L"/>
      <sheetName val="Inputs"/>
      <sheetName val="spareparts8"/>
      <sheetName val="CV"/>
      <sheetName val="BS-Peso"/>
      <sheetName val="con_BS1"/>
      <sheetName val="FF-2 (1)"/>
      <sheetName val="FSA"/>
      <sheetName val="B"/>
      <sheetName val="Worksheet"/>
      <sheetName val="Today"/>
      <sheetName val="WBS_Conso"/>
      <sheetName val="136081"/>
      <sheetName val="Presentation"/>
      <sheetName val="FS Draft"/>
      <sheetName val="CF Support"/>
      <sheetName val="DIT"/>
      <sheetName val="Tax Computation-PY based"/>
      <sheetName val="Extract_Raw"/>
      <sheetName val="PAJE"/>
      <sheetName val="2013 EWP"/>
      <sheetName val="WBS"/>
      <sheetName val="TB (PAJE)"/>
      <sheetName val="WIS"/>
      <sheetName val="CAJE"/>
      <sheetName val="C"/>
      <sheetName val="E"/>
      <sheetName val="F"/>
      <sheetName val="F2"/>
      <sheetName val="G"/>
      <sheetName val="H"/>
      <sheetName val="I"/>
      <sheetName val="K"/>
      <sheetName val="K2"/>
      <sheetName val="N"/>
      <sheetName val="O1"/>
      <sheetName val="O2"/>
      <sheetName val="P"/>
      <sheetName val="T"/>
      <sheetName val="U"/>
      <sheetName val="V"/>
      <sheetName val="gl accts"/>
      <sheetName val="GLSTB"/>
      <sheetName val="Sig Cycles_Accts &amp; Processes"/>
      <sheetName val="TN"/>
      <sheetName val="BQ"/>
      <sheetName val="2002-2005 CIP Borrowing Cost"/>
      <sheetName val="masonry works"/>
      <sheetName val="wbs07"/>
      <sheetName val="Interim --&gt; Top"/>
      <sheetName val="User's_Guide"/>
      <sheetName val="Administration"/>
      <sheetName val="TB_conso_mapping"/>
      <sheetName val="2_29_121"/>
      <sheetName val="BS-rap_(2)1"/>
      <sheetName val="supporting_sched_for_Part_III_2"/>
      <sheetName val="risk_weighted1"/>
      <sheetName val="BS-rap_(5)1"/>
      <sheetName val="Part_III_11"/>
      <sheetName val="BS-rap_3_31_121"/>
      <sheetName val="sales_1"/>
      <sheetName val="2_29_12"/>
      <sheetName val="BS-rap_(2)"/>
      <sheetName val="supporting_sched_for_Part_III_1"/>
      <sheetName val="risk_weighted"/>
      <sheetName val="BS-rap_(5)"/>
      <sheetName val="Part_III_1"/>
      <sheetName val="BS-rap_3_31_12"/>
      <sheetName val="sales_"/>
      <sheetName val="Zero"/>
      <sheetName val="ADDITIONS"/>
      <sheetName val="consolidated jul 07"/>
      <sheetName val="068"/>
      <sheetName val="069"/>
      <sheetName val="500"/>
      <sheetName val="Company"/>
      <sheetName val="lapsing04"/>
      <sheetName val="free 1-pc chicken mcdo meal"/>
      <sheetName val="free 2-pc chicken mcdo meal"/>
      <sheetName val="A"/>
      <sheetName val="KBI"/>
      <sheetName val="List_30"/>
      <sheetName val="FF-2_(1)"/>
      <sheetName val="Key_Stats-PSS"/>
      <sheetName val="consolidated_jul_07"/>
      <sheetName val="Report - Capex-IT"/>
      <sheetName val="FX"/>
      <sheetName val="consolidated 14"/>
      <sheetName val="JG I-V"/>
      <sheetName val="Amortization"/>
      <sheetName val="Exh. 3 SAP Output-GL"/>
      <sheetName val="INSTMATR"/>
      <sheetName val="NL180"/>
      <sheetName val="NL240"/>
      <sheetName val="Access Radio NL400"/>
      <sheetName val="SPARE"/>
      <sheetName val="GLP-DISCOUNT"/>
      <sheetName val="BSDETAILS"/>
      <sheetName val="PER PROJECT"/>
      <sheetName val="DBJK - Jan 2002"/>
      <sheetName val="A4.2-2_conso mapping 12.31.07"/>
      <sheetName val="AVE_SALES"/>
      <sheetName val="RTV_SALES_BUDGET"/>
      <sheetName val="Sales_and_Margin_MOM_Trend"/>
      <sheetName val="Sales_and_Margin_YTD"/>
      <sheetName val="A04_2_CPI_Mapping"/>
      <sheetName val="SEC_Form_24_FINOP5"/>
      <sheetName val="net_cap5"/>
      <sheetName val="Trial_Balance5"/>
      <sheetName val="Financial_Statements5"/>
      <sheetName val="Core_Equity5"/>
      <sheetName val="Cash_in_Bank5"/>
      <sheetName val="Schedule_4_Security_Valuation-9"/>
      <sheetName val="Schedule_4_Security_Valuation10"/>
      <sheetName val="Reserve_Formula5"/>
      <sheetName val="reserve_formula-detailed5"/>
      <sheetName val="collval_sht5"/>
      <sheetName val="bank_recon5"/>
      <sheetName val="Trial_Bal_5"/>
      <sheetName val="Marketable_Sec_5"/>
      <sheetName val="TB_for_SGV2"/>
      <sheetName val="site_works3"/>
      <sheetName val="Other_Investment1"/>
      <sheetName val="1999_Earn_Asset_bal_int_yield1"/>
      <sheetName val="Interest_Rate_Projection1"/>
      <sheetName val="Tariff_Adjustment3"/>
      <sheetName val="General_Inputs3"/>
      <sheetName val="Bill_10_-_Specialties3"/>
      <sheetName val="Adv_MO1"/>
      <sheetName val="Form_Admin3"/>
      <sheetName val="Key_Stats-PSS1"/>
      <sheetName val="AVE_SALES1"/>
      <sheetName val="RTV_SALES_BUDGET1"/>
      <sheetName val="Sales_and_Margin_MOM_Trend1"/>
      <sheetName val="Sales_and_Margin_YTD1"/>
      <sheetName val="A04_2_CPI_Mapping1"/>
      <sheetName val="SEC_Form_24_FINOP6"/>
      <sheetName val="net_cap6"/>
      <sheetName val="Trial_Balance6"/>
      <sheetName val="Financial_Statements6"/>
      <sheetName val="Core_Equity6"/>
      <sheetName val="Cash_in_Bank6"/>
      <sheetName val="Schedule_4_Security_Valuation11"/>
      <sheetName val="Schedule_4_Security_Valuation12"/>
      <sheetName val="Reserve_Formula6"/>
      <sheetName val="reserve_formula-detailed6"/>
      <sheetName val="collval_sht6"/>
      <sheetName val="bank_recon6"/>
      <sheetName val="Trial_Bal_6"/>
      <sheetName val="Marketable_Sec_6"/>
      <sheetName val="TB_for_SGV3"/>
      <sheetName val="Prem_EIR2"/>
      <sheetName val="RE_recon2"/>
      <sheetName val="wbs_fsa2"/>
      <sheetName val="site_works4"/>
      <sheetName val="Prem_EIRs2"/>
      <sheetName val="Other_Investment2"/>
      <sheetName val="1999_Earn_Asset_bal_int_yield2"/>
      <sheetName val="Interest_Rate_Projection2"/>
      <sheetName val="Tariff_Adjustment4"/>
      <sheetName val="General_Inputs4"/>
      <sheetName val="Bill_10_-_Specialties4"/>
      <sheetName val="Adv_MO2"/>
      <sheetName val="Form_Admin4"/>
      <sheetName val="eir_per_audit2"/>
      <sheetName val="Ageing_Rpt(2)2"/>
      <sheetName val="Key_Stats-PSS2"/>
      <sheetName val="AVE_SALES2"/>
      <sheetName val="RTV_SALES_BUDGET2"/>
      <sheetName val="Sales_and_Margin_MOM_Trend2"/>
      <sheetName val="Sales_and_Margin_YTD2"/>
      <sheetName val="A04_2_CPI_Mapping2"/>
      <sheetName val="SEC_Form_24_FINOP7"/>
      <sheetName val="net_cap7"/>
      <sheetName val="Trial_Balance7"/>
      <sheetName val="Financial_Statements7"/>
      <sheetName val="Core_Equity7"/>
      <sheetName val="Cash_in_Bank7"/>
      <sheetName val="Schedule_4_Security_Valuation13"/>
      <sheetName val="Schedule_4_Security_Valuation14"/>
      <sheetName val="Reserve_Formula7"/>
      <sheetName val="reserve_formula-detailed7"/>
      <sheetName val="collval_sht7"/>
      <sheetName val="bank_recon7"/>
      <sheetName val="Trial_Bal_7"/>
      <sheetName val="Marketable_Sec_7"/>
      <sheetName val="TB_for_SGV4"/>
      <sheetName val="Prem_EIR3"/>
      <sheetName val="RE_recon3"/>
      <sheetName val="wbs_fsa3"/>
      <sheetName val="site_works5"/>
      <sheetName val="Prem_EIRs3"/>
      <sheetName val="Other_Investment3"/>
      <sheetName val="1999_Earn_Asset_bal_int_yield3"/>
      <sheetName val="Interest_Rate_Projection3"/>
      <sheetName val="Tariff_Adjustment5"/>
      <sheetName val="General_Inputs5"/>
      <sheetName val="Bill_10_-_Specialties5"/>
      <sheetName val="Adv_MO3"/>
      <sheetName val="Form_Admin5"/>
      <sheetName val="eir_per_audit3"/>
      <sheetName val="Ageing_Rpt(2)3"/>
      <sheetName val="Key_Stats-PSS3"/>
      <sheetName val="AVE_SALES3"/>
      <sheetName val="RTV_SALES_BUDGET3"/>
      <sheetName val="Sales_and_Margin_MOM_Trend3"/>
      <sheetName val="Sales_and_Margin_YTD3"/>
      <sheetName val="A04_2_CPI_Mapping3"/>
      <sheetName val="2012DB-A"/>
      <sheetName val="2013DB-A"/>
      <sheetName val="Var"/>
      <sheetName val="dghn"/>
      <sheetName val="INPUT DATA HERE"/>
      <sheetName val="SEC_Form_24_FINOP8"/>
      <sheetName val="net_cap8"/>
      <sheetName val="Trial_Balance8"/>
      <sheetName val="Financial_Statements8"/>
      <sheetName val="Core_Equity8"/>
      <sheetName val="Cash_in_Bank8"/>
      <sheetName val="Schedule_4_Security_Valuation15"/>
      <sheetName val="Schedule_4_Security_Valuation16"/>
      <sheetName val="Reserve_Formula8"/>
      <sheetName val="reserve_formula-detailed8"/>
      <sheetName val="collval_sht8"/>
      <sheetName val="bank_recon8"/>
      <sheetName val="site_works6"/>
      <sheetName val="Marketable_Sec_8"/>
      <sheetName val="Bill_10_-_Specialties6"/>
      <sheetName val="Trial_Bal_8"/>
      <sheetName val="Tariff_Adjustment6"/>
      <sheetName val="General_Inputs6"/>
      <sheetName val="Adv_MO4"/>
      <sheetName val="TB_for_SGV5"/>
      <sheetName val="Prem_EIR4"/>
      <sheetName val="RE_recon4"/>
      <sheetName val="wbs_fsa4"/>
      <sheetName val="Prem_EIRs4"/>
      <sheetName val="Other_Investment4"/>
      <sheetName val="Key_Stats-PSS4"/>
      <sheetName val="AVE_SALES4"/>
      <sheetName val="eir_per_audit4"/>
      <sheetName val="Form_Admin6"/>
      <sheetName val="RTV_SALES_BUDGET4"/>
      <sheetName val="Sales_and_Margin_MOM_Trend4"/>
      <sheetName val="Sales_and_Margin_YTD4"/>
      <sheetName val="Ageing_Rpt(2)4"/>
      <sheetName val="1999_Earn_Asset_bal_int_yield4"/>
      <sheetName val="Interest_Rate_Projection4"/>
      <sheetName val="2002-2005_CIP_Borrowing_Cost"/>
      <sheetName val="A04_2_CPI_Mapping4"/>
      <sheetName val="FS_Draft"/>
      <sheetName val="CF_Support"/>
      <sheetName val="Tax_Computation-PY_based"/>
      <sheetName val="2013_EWP"/>
      <sheetName val="TB_(PAJE)"/>
      <sheetName val="gl_accts"/>
      <sheetName val="GL_Inventory"/>
      <sheetName val="Physical_Consolidated_"/>
      <sheetName val="SEC_Form_24_FINOP10"/>
      <sheetName val="net_cap10"/>
      <sheetName val="Trial_Balance10"/>
      <sheetName val="Financial_Statements10"/>
      <sheetName val="Core_Equity10"/>
      <sheetName val="Cash_in_Bank10"/>
      <sheetName val="Schedule_4_Security_Valuation19"/>
      <sheetName val="Schedule_4_Security_Valuation20"/>
      <sheetName val="Reserve_Formula10"/>
      <sheetName val="reserve_formula-detailed10"/>
      <sheetName val="collval_sht10"/>
      <sheetName val="bank_recon10"/>
      <sheetName val="site_works8"/>
      <sheetName val="Marketable_Sec_10"/>
      <sheetName val="Bill_10_-_Specialties8"/>
      <sheetName val="Trial_Bal_10"/>
      <sheetName val="Tariff_Adjustment8"/>
      <sheetName val="General_Inputs8"/>
      <sheetName val="Adv_MO6"/>
      <sheetName val="TB_for_SGV7"/>
      <sheetName val="Prem_EIR6"/>
      <sheetName val="RE_recon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 refreshError="1"/>
      <sheetData sheetId="322"/>
      <sheetData sheetId="323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RTED"/>
      <sheetName val="Header"/>
      <sheetName val="Cover"/>
      <sheetName val="SEC Form 24 FINOP"/>
      <sheetName val="net cap"/>
      <sheetName val="Net_Cap_Rep"/>
      <sheetName val="VALUATION"/>
      <sheetName val="FS"/>
      <sheetName val="Dealer"/>
      <sheetName val="CACG"/>
      <sheetName val="Sheet1"/>
      <sheetName val="Mapping"/>
      <sheetName val="Trial Balance"/>
      <sheetName val="Financial Statements"/>
      <sheetName val="Data"/>
      <sheetName val="Navigation"/>
      <sheetName val="RBC"/>
      <sheetName val="Others"/>
      <sheetName val="SL"/>
      <sheetName val="Reference"/>
      <sheetName val="Cash in Bank"/>
      <sheetName val="Placement"/>
      <sheetName val="Marketable Sec."/>
      <sheetName val="Receivables"/>
      <sheetName val="Schedule 4_Security Valuation-C"/>
      <sheetName val="Schedule 4_Security Valuation-B"/>
      <sheetName val="ORR"/>
      <sheetName val="CRR"/>
      <sheetName val="PRR"/>
      <sheetName val="LERR-CLIENT"/>
      <sheetName val="LERR-ISSUER"/>
      <sheetName val="LERR-DEBT"/>
      <sheetName val="Core Equity"/>
      <sheetName val="Recon"/>
      <sheetName val="reserve formula-detailed"/>
      <sheetName val="Reserve Formula"/>
      <sheetName val="FINOP"/>
      <sheetName val="SCHED"/>
      <sheetName val="eir per audit"/>
      <sheetName val="table"/>
      <sheetName val="SECNCR"/>
      <sheetName val="Ageing Rpt(2)"/>
      <sheetName val="MS-25%"/>
      <sheetName val="MS-Others"/>
      <sheetName val="0104sched"/>
      <sheetName val="tb"/>
      <sheetName val="ms"/>
      <sheetName val="ms-phisix"/>
      <sheetName val="collval.sht"/>
      <sheetName val="collval"/>
      <sheetName val="bank recon"/>
      <sheetName val="DrHaircut"/>
      <sheetName val="DrRCBA"/>
      <sheetName val="ALLO"/>
      <sheetName val="Trial Bal."/>
      <sheetName val="BNISS98"/>
      <sheetName val="site works"/>
      <sheetName val="Bill 10 - Specialties"/>
      <sheetName val="Tariff Adjustment"/>
      <sheetName val="General Inputs"/>
      <sheetName val="Links"/>
      <sheetName val="INCST"/>
      <sheetName val="EXP"/>
      <sheetName val="BDO"/>
      <sheetName val="mizuho"/>
      <sheetName val="Key Stats-PSS"/>
      <sheetName val="DATA1"/>
      <sheetName val="PACK"/>
      <sheetName val="Prem EIR"/>
      <sheetName val="2.29.12"/>
      <sheetName val="BS-rap (2)"/>
      <sheetName val="supporting sched for Part III.1"/>
      <sheetName val="risk weighted"/>
      <sheetName val="BS-rap (5)"/>
      <sheetName val="Part III.1"/>
      <sheetName val="BS-rap_3.31.12"/>
      <sheetName val="PLINK1"/>
      <sheetName val="RE recon"/>
      <sheetName val="wbs fsa"/>
      <sheetName val="026"/>
      <sheetName val="067"/>
      <sheetName val="Stocks"/>
      <sheetName val="sales "/>
      <sheetName val="NOV"/>
      <sheetName val="Inputs"/>
      <sheetName val="Prem"/>
      <sheetName val="spareparts8"/>
      <sheetName val="P&amp;L"/>
      <sheetName val="CV"/>
      <sheetName val="Form Admin"/>
      <sheetName val="BS-Peso"/>
      <sheetName val="Other Investment"/>
      <sheetName val="Today"/>
      <sheetName val="con_BS1"/>
      <sheetName val="WBS_Conso"/>
      <sheetName val="AVE SALES"/>
      <sheetName val="Worksheet"/>
      <sheetName val="FS Draft"/>
      <sheetName val="CF Support"/>
      <sheetName val="DIT"/>
      <sheetName val="Tax Computation-PY based"/>
      <sheetName val="Extract_Raw"/>
      <sheetName val="PAJE"/>
      <sheetName val="2013 EWP"/>
      <sheetName val="WBS"/>
      <sheetName val="TB (PAJE)"/>
      <sheetName val="WIS"/>
      <sheetName val="CAJE"/>
      <sheetName val="C"/>
      <sheetName val="E"/>
      <sheetName val="F"/>
      <sheetName val="F2"/>
      <sheetName val="G"/>
      <sheetName val="H"/>
      <sheetName val="I"/>
      <sheetName val="K"/>
      <sheetName val="K2"/>
      <sheetName val="N"/>
      <sheetName val="O1"/>
      <sheetName val="O2"/>
      <sheetName val="P"/>
      <sheetName val="T"/>
      <sheetName val="U"/>
      <sheetName val="V"/>
      <sheetName val="반도체"/>
      <sheetName val="SEC_Form_24_FINOP"/>
      <sheetName val="net_cap"/>
      <sheetName val="Trial_Balance"/>
      <sheetName val="Financial_Statements"/>
      <sheetName val="Cash_in_Bank"/>
      <sheetName val="Marketable_Sec_"/>
      <sheetName val="Schedule_4_Security_Valuation-C"/>
      <sheetName val="Schedule_4_Security_Valuation-B"/>
      <sheetName val="Core_Equity"/>
      <sheetName val="reserve_formula-detailed"/>
      <sheetName val="Reserve_Formula"/>
      <sheetName val="eir_per_audit"/>
      <sheetName val="Ageing_Rpt(2)"/>
      <sheetName val="000"/>
      <sheetName val="001"/>
      <sheetName val="002"/>
      <sheetName val="003"/>
      <sheetName val="SUMM"/>
      <sheetName val="MTD"/>
      <sheetName val="YTD"/>
      <sheetName val="RTV SALES BUDGET"/>
      <sheetName val="RTVH1505"/>
      <sheetName val="SCHEDULE"/>
      <sheetName val="Sales and Margin MOM Trend"/>
      <sheetName val="Sales and Margin YTD"/>
      <sheetName val="Presentation"/>
      <sheetName val="nts_ar"/>
      <sheetName val="136081"/>
      <sheetName val="FF-2 (1)"/>
      <sheetName val="FSA"/>
      <sheetName val="B"/>
      <sheetName val="变数"/>
      <sheetName val="Validation"/>
      <sheetName val="Lead"/>
      <sheetName val="TB for SGV"/>
      <sheetName val="qry_Tot_Cost"/>
      <sheetName val="Adv MO"/>
      <sheetName val="Lookups"/>
      <sheetName val="masonry works"/>
      <sheetName val="collval_sht"/>
      <sheetName val="bank_recon"/>
      <sheetName val="site_works"/>
      <sheetName val="Trial_Bal_"/>
      <sheetName val="TB_for_SGV"/>
      <sheetName val="Prem EIRs"/>
      <sheetName val="gl accts"/>
      <sheetName val="wbs07"/>
      <sheetName val="Interim --&gt; Top"/>
      <sheetName val="User's_Guide"/>
      <sheetName val="PM-TE"/>
      <sheetName val="Administration"/>
      <sheetName val="TB_conso_mapping"/>
      <sheetName val="SEC_Form_24_FINOP1"/>
      <sheetName val="net_cap1"/>
      <sheetName val="Trial_Balance1"/>
      <sheetName val="Financial_Statements1"/>
      <sheetName val="Cash_in_Bank1"/>
      <sheetName val="Marketable_Sec_1"/>
      <sheetName val="Schedule_4_Security_Valuation-1"/>
      <sheetName val="Schedule_4_Security_Valuation-2"/>
      <sheetName val="Core_Equity1"/>
      <sheetName val="reserve_formula-detailed1"/>
      <sheetName val="Reserve_Formula1"/>
      <sheetName val="eir_per_audit1"/>
      <sheetName val="Ageing_Rpt(2)1"/>
      <sheetName val="collval_sht1"/>
      <sheetName val="bank_recon1"/>
      <sheetName val="site_works1"/>
      <sheetName val="Trial_Bal_1"/>
      <sheetName val="TB_for_SGV1"/>
      <sheetName val="Prem_EIR1"/>
      <sheetName val="2_29_121"/>
      <sheetName val="BS-rap_(2)1"/>
      <sheetName val="supporting_sched_for_Part_III_2"/>
      <sheetName val="risk_weighted1"/>
      <sheetName val="BS-rap_(5)1"/>
      <sheetName val="Part_III_11"/>
      <sheetName val="BS-rap_3_31_121"/>
      <sheetName val="RE_recon1"/>
      <sheetName val="wbs_fsa1"/>
      <sheetName val="Bill_10_-_Specialties1"/>
      <sheetName val="sales_1"/>
      <sheetName val="Tariff_Adjustment"/>
      <sheetName val="General_Inputs"/>
      <sheetName val="Form_Admin"/>
      <sheetName val="Prem_EIR"/>
      <sheetName val="2_29_12"/>
      <sheetName val="BS-rap_(2)"/>
      <sheetName val="supporting_sched_for_Part_III_1"/>
      <sheetName val="risk_weighted"/>
      <sheetName val="BS-rap_(5)"/>
      <sheetName val="Part_III_1"/>
      <sheetName val="BS-rap_3_31_12"/>
      <sheetName val="RE_recon"/>
      <sheetName val="wbs_fsa"/>
      <sheetName val="Bill_10_-_Specialties"/>
      <sheetName val="sales_"/>
      <sheetName val="GL Inventory"/>
      <sheetName val="Physical Consolidated "/>
      <sheetName val="Zero"/>
      <sheetName val="ADDITIONS"/>
      <sheetName val="consolidated jul 07"/>
      <sheetName val="068"/>
      <sheetName val="069"/>
      <sheetName val="500"/>
      <sheetName val="Company"/>
      <sheetName val="lapsing04"/>
      <sheetName val="A"/>
      <sheetName val="KBI"/>
      <sheetName val="List_30"/>
      <sheetName val="SEC_Form_24_FINOP2"/>
      <sheetName val="net_cap2"/>
      <sheetName val="Trial_Balance2"/>
      <sheetName val="Financial_Statements2"/>
      <sheetName val="Cash_in_Bank2"/>
      <sheetName val="Marketable_Sec_2"/>
      <sheetName val="Schedule_4_Security_Valuation-3"/>
      <sheetName val="Schedule_4_Security_Valuation-4"/>
      <sheetName val="Core_Equity2"/>
      <sheetName val="reserve_formula-detailed2"/>
      <sheetName val="Reserve_Formula2"/>
      <sheetName val="SEC_Form_24_FINOP3"/>
      <sheetName val="net_cap3"/>
      <sheetName val="Trial_Balance3"/>
      <sheetName val="Financial_Statements3"/>
      <sheetName val="Cash_in_Bank3"/>
      <sheetName val="Marketable_Sec_3"/>
      <sheetName val="Schedule_4_Security_Valuation-5"/>
      <sheetName val="Schedule_4_Security_Valuation-6"/>
      <sheetName val="Core_Equity3"/>
      <sheetName val="reserve_formula-detailed3"/>
      <sheetName val="Reserve_Formula3"/>
      <sheetName val="Form_Admin1"/>
      <sheetName val="Tariff_Adjustment1"/>
      <sheetName val="General_Inputs1"/>
      <sheetName val="SEC_Form_24_FINOP4"/>
      <sheetName val="net_cap4"/>
      <sheetName val="Trial_Balance4"/>
      <sheetName val="Financial_Statements4"/>
      <sheetName val="Cash_in_Bank4"/>
      <sheetName val="Marketable_Sec_4"/>
      <sheetName val="Schedule_4_Security_Valuation-7"/>
      <sheetName val="Schedule_4_Security_Valuation-8"/>
      <sheetName val="Core_Equity4"/>
      <sheetName val="reserve_formula-detailed4"/>
      <sheetName val="Reserve_Formula4"/>
      <sheetName val="Form_Admin2"/>
      <sheetName val="Tariff_Adjustment2"/>
      <sheetName val="General_Inputs2"/>
      <sheetName val="Bill_10_-_Specialties2"/>
      <sheetName val="collval_sht2"/>
      <sheetName val="bank_recon2"/>
      <sheetName val="site_works2"/>
      <sheetName val="Trial_Bal_2"/>
      <sheetName val="Other_Investment"/>
      <sheetName val="FF-2_(1)"/>
      <sheetName val="Key_Stats-PSS"/>
      <sheetName val="Prem_EIRs"/>
      <sheetName val="consolidated_jul_07"/>
      <sheetName val="Report - Capex-IT"/>
      <sheetName val="FX"/>
      <sheetName val="consolidated 14"/>
      <sheetName val="free 1-pc chicken mcdo meal"/>
      <sheetName val="free 2-pc chicken mcdo meal"/>
      <sheetName val="INSTMATR"/>
      <sheetName val="NL180"/>
      <sheetName val="NL240"/>
      <sheetName val="Access Radio NL400"/>
      <sheetName val="SPARE"/>
      <sheetName val="GLP-DISCOUNT"/>
      <sheetName val="mstd"/>
      <sheetName val="PM-TE-SAD_Conso"/>
      <sheetName val="B20"/>
      <sheetName val="B50"/>
      <sheetName val="B36"/>
      <sheetName val="DEALERSTERM"/>
      <sheetName val="Dates"/>
      <sheetName val="JG I-V"/>
      <sheetName val="Amortization"/>
      <sheetName val="Exh. 3 SAP Output-GL"/>
      <sheetName val="BSDETAILS"/>
      <sheetName val="PER PROJECT"/>
      <sheetName val="DBJK - Jan 2002"/>
      <sheetName val="Sampling for Outstanding Checks"/>
      <sheetName val="FormHYP"/>
      <sheetName val="Project List Jan 05"/>
      <sheetName val="FS_Draft"/>
      <sheetName val="CF_Support"/>
      <sheetName val="Tax_Computation-PY_based"/>
      <sheetName val="2013_EWP"/>
      <sheetName val="TB_(PAJE)"/>
      <sheetName val="Interim_--&gt;_Top"/>
      <sheetName val="AVE_SALES"/>
      <sheetName val="RTV_SALES_BUDGET"/>
      <sheetName val="Sales_and_Margin_MOM_Trend"/>
      <sheetName val="Sales_and_Margin_YTD"/>
      <sheetName val="gl_accts"/>
      <sheetName val="SEC_Form_24_FINOP5"/>
      <sheetName val="net_cap5"/>
      <sheetName val="Trial_Balance5"/>
      <sheetName val="Financial_Statements5"/>
      <sheetName val="Cash_in_Bank5"/>
      <sheetName val="Marketable_Sec_5"/>
      <sheetName val="Schedule_4_Security_Valuation-9"/>
      <sheetName val="Schedule_4_Security_Valuation10"/>
      <sheetName val="Core_Equity5"/>
      <sheetName val="reserve_formula-detailed5"/>
      <sheetName val="Reserve_Formula5"/>
      <sheetName val="collval_sht3"/>
      <sheetName val="bank_recon3"/>
      <sheetName val="Trial_Bal_3"/>
      <sheetName val="eir_per_audit2"/>
      <sheetName val="Bill_10_-_Specialties3"/>
      <sheetName val="Other_Investment1"/>
      <sheetName val="Form_Admin3"/>
      <sheetName val="Tariff_Adjustment3"/>
      <sheetName val="General_Inputs3"/>
      <sheetName val="Ageing_Rpt(2)2"/>
      <sheetName val="FF-2_(1)1"/>
      <sheetName val="Key_Stats-PSS1"/>
      <sheetName val="Prem_EIRs1"/>
      <sheetName val="consolidated_jul_071"/>
      <sheetName val="site_works3"/>
      <sheetName val="FS_Draft1"/>
      <sheetName val="CF_Support1"/>
      <sheetName val="Tax_Computation-PY_based1"/>
      <sheetName val="2013_EWP1"/>
      <sheetName val="TB_(PAJE)1"/>
      <sheetName val="Interim_--&gt;_Top1"/>
      <sheetName val="AVE_SALES1"/>
      <sheetName val="RTV_SALES_BUDGET1"/>
      <sheetName val="Sales_and_Margin_MOM_Trend1"/>
      <sheetName val="Sales_and_Margin_YTD1"/>
      <sheetName val="gl_accts1"/>
      <sheetName val="SEC_Form_24_FINOP6"/>
      <sheetName val="net_cap6"/>
      <sheetName val="Trial_Balance6"/>
      <sheetName val="Financial_Statements6"/>
      <sheetName val="Cash_in_Bank6"/>
      <sheetName val="Marketable_Sec_6"/>
      <sheetName val="Schedule_4_Security_Valuation11"/>
      <sheetName val="Schedule_4_Security_Valuation12"/>
      <sheetName val="Core_Equity6"/>
      <sheetName val="reserve_formula-detailed6"/>
      <sheetName val="Reserve_Formula6"/>
      <sheetName val="collval_sht4"/>
      <sheetName val="bank_recon4"/>
      <sheetName val="Trial_Bal_4"/>
      <sheetName val="eir_per_audit3"/>
      <sheetName val="2_29_122"/>
      <sheetName val="BS-rap_(2)2"/>
      <sheetName val="supporting_sched_for_Part_III_3"/>
      <sheetName val="risk_weighted2"/>
      <sheetName val="BS-rap_(5)2"/>
      <sheetName val="Part_III_12"/>
      <sheetName val="BS-rap_3_31_122"/>
      <sheetName val="Prem_EIR2"/>
      <sheetName val="RE_recon2"/>
      <sheetName val="wbs_fsa2"/>
      <sheetName val="Bill_10_-_Specialties4"/>
      <sheetName val="sales_2"/>
      <sheetName val="Other_Investment2"/>
      <sheetName val="Form_Admin4"/>
      <sheetName val="Tariff_Adjustment4"/>
      <sheetName val="General_Inputs4"/>
      <sheetName val="Ageing_Rpt(2)3"/>
      <sheetName val="FF-2_(1)2"/>
      <sheetName val="Key_Stats-PSS2"/>
      <sheetName val="Prem_EIRs2"/>
      <sheetName val="consolidated_jul_072"/>
      <sheetName val="site_works4"/>
      <sheetName val="TB_for_SGV2"/>
      <sheetName val="FS_Draft2"/>
      <sheetName val="CF_Support2"/>
      <sheetName val="Tax_Computation-PY_based2"/>
      <sheetName val="2013_EWP2"/>
      <sheetName val="TB_(PAJE)2"/>
      <sheetName val="Interim_--&gt;_Top2"/>
      <sheetName val="AVE_SALES2"/>
      <sheetName val="RTV_SALES_BUDGET2"/>
      <sheetName val="Sales_and_Margin_MOM_Trend2"/>
      <sheetName val="Sales_and_Margin_YTD2"/>
      <sheetName val="gl_accts2"/>
      <sheetName val="SEC_Form_24_FINOP7"/>
      <sheetName val="net_cap7"/>
      <sheetName val="Trial_Balance7"/>
      <sheetName val="Financial_Statements7"/>
      <sheetName val="Cash_in_Bank7"/>
      <sheetName val="Marketable_Sec_7"/>
      <sheetName val="Schedule_4_Security_Valuation13"/>
      <sheetName val="Schedule_4_Security_Valuation14"/>
      <sheetName val="Core_Equity7"/>
      <sheetName val="reserve_formula-detailed7"/>
      <sheetName val="Reserve_Formula7"/>
      <sheetName val="collval_sht5"/>
      <sheetName val="bank_recon5"/>
      <sheetName val="Trial_Bal_5"/>
      <sheetName val="eir_per_audit4"/>
      <sheetName val="2_29_123"/>
      <sheetName val="BS-rap_(2)3"/>
      <sheetName val="supporting_sched_for_Part_III_4"/>
      <sheetName val="risk_weighted3"/>
      <sheetName val="BS-rap_(5)3"/>
      <sheetName val="Part_III_13"/>
      <sheetName val="BS-rap_3_31_123"/>
      <sheetName val="Prem_EIR3"/>
      <sheetName val="RE_recon3"/>
      <sheetName val="wbs_fsa3"/>
      <sheetName val="Bill_10_-_Specialties5"/>
      <sheetName val="sales_3"/>
      <sheetName val="Other_Investment3"/>
      <sheetName val="Form_Admin5"/>
      <sheetName val="Tariff_Adjustment5"/>
      <sheetName val="General_Inputs5"/>
      <sheetName val="Ageing_Rpt(2)4"/>
      <sheetName val="FF-2_(1)3"/>
      <sheetName val="Key_Stats-PSS3"/>
      <sheetName val="Prem_EIRs3"/>
      <sheetName val="consolidated_jul_073"/>
      <sheetName val="site_works5"/>
      <sheetName val="TB_for_SGV3"/>
      <sheetName val="FS_Draft3"/>
      <sheetName val="CF_Support3"/>
      <sheetName val="Tax_Computation-PY_based3"/>
      <sheetName val="2013_EWP3"/>
      <sheetName val="TB_(PAJE)3"/>
      <sheetName val="Interim_--&gt;_Top3"/>
      <sheetName val="AVE_SALES3"/>
      <sheetName val="RTV_SALES_BUDGET3"/>
      <sheetName val="Sales_and_Margin_MOM_Trend3"/>
      <sheetName val="Sales_and_Margin_YTD3"/>
      <sheetName val="gl_accts3"/>
      <sheetName val="Adv_MO"/>
      <sheetName val="WTB"/>
      <sheetName val="Sheet3"/>
      <sheetName val="21)LOOKUP"/>
      <sheetName val="Impairment"/>
      <sheetName val="Index"/>
      <sheetName val="Navmac TB"/>
      <sheetName val="schedbc"/>
      <sheetName val="Sheet2"/>
      <sheetName val="Peso"/>
      <sheetName val="Sig Cycles_Accts &amp; Processes"/>
      <sheetName val="3QLRP ( R2 MOR)"/>
      <sheetName val="SEC_Form_24_FINOP8"/>
      <sheetName val="net_cap8"/>
      <sheetName val="Trial_Balance8"/>
      <sheetName val="Financial_Statements8"/>
      <sheetName val="Cash_in_Bank8"/>
      <sheetName val="Marketable_Sec_8"/>
      <sheetName val="Schedule_4_Security_Valuation15"/>
      <sheetName val="Schedule_4_Security_Valuation16"/>
      <sheetName val="Core_Equity8"/>
      <sheetName val="reserve_formula-detailed8"/>
      <sheetName val="Reserve_Formula8"/>
      <sheetName val="Bill_10_-_Specialties6"/>
      <sheetName val="Tariff_Adjustment6"/>
      <sheetName val="General_Inputs6"/>
      <sheetName val="eir_per_audit5"/>
      <sheetName val="Key_Stats-PSS4"/>
      <sheetName val="Form_Admin6"/>
      <sheetName val="AVE_SALES4"/>
      <sheetName val="collval_sht6"/>
      <sheetName val="bank_recon6"/>
      <sheetName val="Trial_Bal_6"/>
      <sheetName val="Ageing_Rpt(2)5"/>
      <sheetName val="Prem_EIR4"/>
      <sheetName val="2_29_124"/>
      <sheetName val="BS-rap_(2)4"/>
      <sheetName val="supporting_sched_for_Part_III_5"/>
      <sheetName val="risk_weighted4"/>
      <sheetName val="BS-rap_(5)4"/>
      <sheetName val="Part_III_14"/>
      <sheetName val="BS-rap_3_31_124"/>
      <sheetName val="RE_recon4"/>
      <sheetName val="wbs_fsa4"/>
      <sheetName val="sales_4"/>
      <sheetName val="Other_Investment4"/>
      <sheetName val="FS_Draft4"/>
      <sheetName val="CF_Support4"/>
      <sheetName val="Tax_Computation-PY_based4"/>
      <sheetName val="2013_EWP4"/>
      <sheetName val="TB_(PAJE)4"/>
      <sheetName val="RTV_SALES_BUDGET4"/>
      <sheetName val="Sales_and_Margin_MOM_Trend4"/>
      <sheetName val="Sales_and_Margin_YTD4"/>
      <sheetName val="FF-2_(1)4"/>
      <sheetName val="site_works6"/>
      <sheetName val="TB_for_SGV4"/>
      <sheetName val="Prem_EIRs4"/>
      <sheetName val="gl_accts4"/>
      <sheetName val="Interim_--&gt;_Top4"/>
      <sheetName val="consolidated_jul_074"/>
      <sheetName val="masonry_works"/>
      <sheetName val="consolidated_14"/>
      <sheetName val="GL_Inventory"/>
      <sheetName val="Physical_Consolidated_"/>
      <sheetName val="Report_-_Capex-IT"/>
      <sheetName val="SEC_Form_24_FINOP10"/>
      <sheetName val="net_cap10"/>
      <sheetName val="Trial_Balance10"/>
      <sheetName val="Financial_Statements10"/>
      <sheetName val="Cash_in_Bank10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/>
      <sheetData sheetId="466" refreshError="1"/>
      <sheetData sheetId="467" refreshError="1"/>
      <sheetData sheetId="468" refreshError="1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2B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2B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1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2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7" Type="http://schemas.openxmlformats.org/officeDocument/2006/relationships/comments" Target="../comments3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6.xml"/><Relationship Id="rId18" Type="http://schemas.openxmlformats.org/officeDocument/2006/relationships/ctrlProp" Target="../ctrlProps/ctrlProp21.xml"/><Relationship Id="rId26" Type="http://schemas.openxmlformats.org/officeDocument/2006/relationships/ctrlProp" Target="../ctrlProps/ctrlProp29.xml"/><Relationship Id="rId3" Type="http://schemas.openxmlformats.org/officeDocument/2006/relationships/drawing" Target="../drawings/drawing6.xml"/><Relationship Id="rId21" Type="http://schemas.openxmlformats.org/officeDocument/2006/relationships/ctrlProp" Target="../ctrlProps/ctrlProp24.xml"/><Relationship Id="rId34" Type="http://schemas.openxmlformats.org/officeDocument/2006/relationships/ctrlProp" Target="../ctrlProps/ctrlProp37.xml"/><Relationship Id="rId7" Type="http://schemas.openxmlformats.org/officeDocument/2006/relationships/ctrlProp" Target="../ctrlProps/ctrlProp10.xml"/><Relationship Id="rId12" Type="http://schemas.openxmlformats.org/officeDocument/2006/relationships/ctrlProp" Target="../ctrlProps/ctrlProp15.xml"/><Relationship Id="rId17" Type="http://schemas.openxmlformats.org/officeDocument/2006/relationships/ctrlProp" Target="../ctrlProps/ctrlProp20.xml"/><Relationship Id="rId25" Type="http://schemas.openxmlformats.org/officeDocument/2006/relationships/ctrlProp" Target="../ctrlProps/ctrlProp28.xml"/><Relationship Id="rId33" Type="http://schemas.openxmlformats.org/officeDocument/2006/relationships/ctrlProp" Target="../ctrlProps/ctrlProp36.xml"/><Relationship Id="rId2" Type="http://schemas.openxmlformats.org/officeDocument/2006/relationships/printerSettings" Target="../printerSettings/printerSettings13.bin"/><Relationship Id="rId16" Type="http://schemas.openxmlformats.org/officeDocument/2006/relationships/ctrlProp" Target="../ctrlProps/ctrlProp19.xml"/><Relationship Id="rId20" Type="http://schemas.openxmlformats.org/officeDocument/2006/relationships/ctrlProp" Target="../ctrlProps/ctrlProp23.xml"/><Relationship Id="rId29" Type="http://schemas.openxmlformats.org/officeDocument/2006/relationships/ctrlProp" Target="../ctrlProps/ctrlProp32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9.xml"/><Relationship Id="rId11" Type="http://schemas.openxmlformats.org/officeDocument/2006/relationships/ctrlProp" Target="../ctrlProps/ctrlProp14.xml"/><Relationship Id="rId24" Type="http://schemas.openxmlformats.org/officeDocument/2006/relationships/ctrlProp" Target="../ctrlProps/ctrlProp27.xml"/><Relationship Id="rId32" Type="http://schemas.openxmlformats.org/officeDocument/2006/relationships/ctrlProp" Target="../ctrlProps/ctrlProp35.xml"/><Relationship Id="rId5" Type="http://schemas.openxmlformats.org/officeDocument/2006/relationships/ctrlProp" Target="../ctrlProps/ctrlProp8.xml"/><Relationship Id="rId15" Type="http://schemas.openxmlformats.org/officeDocument/2006/relationships/ctrlProp" Target="../ctrlProps/ctrlProp18.xml"/><Relationship Id="rId23" Type="http://schemas.openxmlformats.org/officeDocument/2006/relationships/ctrlProp" Target="../ctrlProps/ctrlProp26.xml"/><Relationship Id="rId28" Type="http://schemas.openxmlformats.org/officeDocument/2006/relationships/ctrlProp" Target="../ctrlProps/ctrlProp31.xml"/><Relationship Id="rId36" Type="http://schemas.openxmlformats.org/officeDocument/2006/relationships/ctrlProp" Target="../ctrlProps/ctrlProp39.xml"/><Relationship Id="rId10" Type="http://schemas.openxmlformats.org/officeDocument/2006/relationships/ctrlProp" Target="../ctrlProps/ctrlProp13.xml"/><Relationship Id="rId19" Type="http://schemas.openxmlformats.org/officeDocument/2006/relationships/ctrlProp" Target="../ctrlProps/ctrlProp22.xml"/><Relationship Id="rId31" Type="http://schemas.openxmlformats.org/officeDocument/2006/relationships/ctrlProp" Target="../ctrlProps/ctrlProp34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12.xml"/><Relationship Id="rId14" Type="http://schemas.openxmlformats.org/officeDocument/2006/relationships/ctrlProp" Target="../ctrlProps/ctrlProp17.xml"/><Relationship Id="rId22" Type="http://schemas.openxmlformats.org/officeDocument/2006/relationships/ctrlProp" Target="../ctrlProps/ctrlProp25.xml"/><Relationship Id="rId27" Type="http://schemas.openxmlformats.org/officeDocument/2006/relationships/ctrlProp" Target="../ctrlProps/ctrlProp30.xml"/><Relationship Id="rId30" Type="http://schemas.openxmlformats.org/officeDocument/2006/relationships/ctrlProp" Target="../ctrlProps/ctrlProp33.xml"/><Relationship Id="rId35" Type="http://schemas.openxmlformats.org/officeDocument/2006/relationships/ctrlProp" Target="../ctrlProps/ctrlProp38.xml"/><Relationship Id="rId8" Type="http://schemas.openxmlformats.org/officeDocument/2006/relationships/ctrlProp" Target="../ctrlProps/ctrlProp1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41.xml"/><Relationship Id="rId5" Type="http://schemas.openxmlformats.org/officeDocument/2006/relationships/ctrlProp" Target="../ctrlProps/ctrlProp40.xml"/><Relationship Id="rId4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7" Type="http://schemas.openxmlformats.org/officeDocument/2006/relationships/ctrlProp" Target="../ctrlProps/ctrlProp43.xml"/><Relationship Id="rId2" Type="http://schemas.openxmlformats.org/officeDocument/2006/relationships/hyperlink" Target="mailto:-@SUM('trial%20balance'!C61:C77" TargetMode="Externa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42.xml"/><Relationship Id="rId5" Type="http://schemas.openxmlformats.org/officeDocument/2006/relationships/vmlDrawing" Target="../drawings/vmlDrawing7.vml"/><Relationship Id="rId4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6" Type="http://schemas.openxmlformats.org/officeDocument/2006/relationships/ctrlProp" Target="../ctrlProps/ctrlProp45.xml"/><Relationship Id="rId5" Type="http://schemas.openxmlformats.org/officeDocument/2006/relationships/ctrlProp" Target="../ctrlProps/ctrlProp44.xml"/><Relationship Id="rId4" Type="http://schemas.openxmlformats.org/officeDocument/2006/relationships/vmlDrawing" Target="../drawings/vmlDrawing8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6" Type="http://schemas.openxmlformats.org/officeDocument/2006/relationships/ctrlProp" Target="../ctrlProps/ctrlProp47.xml"/><Relationship Id="rId5" Type="http://schemas.openxmlformats.org/officeDocument/2006/relationships/ctrlProp" Target="../ctrlProps/ctrlProp46.xml"/><Relationship Id="rId4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6" Type="http://schemas.openxmlformats.org/officeDocument/2006/relationships/ctrlProp" Target="../ctrlProps/ctrlProp49.xml"/><Relationship Id="rId5" Type="http://schemas.openxmlformats.org/officeDocument/2006/relationships/ctrlProp" Target="../ctrlProps/ctrlProp48.xml"/><Relationship Id="rId4" Type="http://schemas.openxmlformats.org/officeDocument/2006/relationships/vmlDrawing" Target="../drawings/vmlDrawing10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Relationship Id="rId6" Type="http://schemas.openxmlformats.org/officeDocument/2006/relationships/ctrlProp" Target="../ctrlProps/ctrlProp51.xml"/><Relationship Id="rId5" Type="http://schemas.openxmlformats.org/officeDocument/2006/relationships/ctrlProp" Target="../ctrlProps/ctrlProp50.xml"/><Relationship Id="rId4" Type="http://schemas.openxmlformats.org/officeDocument/2006/relationships/vmlDrawing" Target="../drawings/vmlDrawing11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53.xml"/><Relationship Id="rId5" Type="http://schemas.openxmlformats.org/officeDocument/2006/relationships/ctrlProp" Target="../ctrlProps/ctrlProp52.xml"/><Relationship Id="rId4" Type="http://schemas.openxmlformats.org/officeDocument/2006/relationships/vmlDrawing" Target="../drawings/vmlDrawing12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7" Type="http://schemas.openxmlformats.org/officeDocument/2006/relationships/comments" Target="../comments4.xml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ctrlProp" Target="../ctrlProps/ctrlProp55.xml"/><Relationship Id="rId5" Type="http://schemas.openxmlformats.org/officeDocument/2006/relationships/ctrlProp" Target="../ctrlProps/ctrlProp54.xml"/><Relationship Id="rId4" Type="http://schemas.openxmlformats.org/officeDocument/2006/relationships/vmlDrawing" Target="../drawings/vmlDrawing13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6" Type="http://schemas.openxmlformats.org/officeDocument/2006/relationships/ctrlProp" Target="../ctrlProps/ctrlProp57.xml"/><Relationship Id="rId5" Type="http://schemas.openxmlformats.org/officeDocument/2006/relationships/ctrlProp" Target="../ctrlProps/ctrlProp56.xml"/><Relationship Id="rId4" Type="http://schemas.openxmlformats.org/officeDocument/2006/relationships/vmlDrawing" Target="../drawings/vmlDrawing14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6" Type="http://schemas.openxmlformats.org/officeDocument/2006/relationships/ctrlProp" Target="../ctrlProps/ctrlProp59.xml"/><Relationship Id="rId5" Type="http://schemas.openxmlformats.org/officeDocument/2006/relationships/ctrlProp" Target="../ctrlProps/ctrlProp58.xml"/><Relationship Id="rId4" Type="http://schemas.openxmlformats.org/officeDocument/2006/relationships/vmlDrawing" Target="../drawings/vmlDrawing15.v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61.xml"/><Relationship Id="rId5" Type="http://schemas.openxmlformats.org/officeDocument/2006/relationships/ctrlProp" Target="../ctrlProps/ctrlProp60.xml"/><Relationship Id="rId4" Type="http://schemas.openxmlformats.org/officeDocument/2006/relationships/vmlDrawing" Target="../drawings/vmlDrawing16.v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vmlDrawing" Target="../drawings/vmlDrawing17.v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Relationship Id="rId6" Type="http://schemas.openxmlformats.org/officeDocument/2006/relationships/ctrlProp" Target="../ctrlProps/ctrlProp65.xml"/><Relationship Id="rId5" Type="http://schemas.openxmlformats.org/officeDocument/2006/relationships/ctrlProp" Target="../ctrlProps/ctrlProp64.xml"/><Relationship Id="rId4" Type="http://schemas.openxmlformats.org/officeDocument/2006/relationships/vmlDrawing" Target="../drawings/vmlDrawing18.v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ctrlProp" Target="../ctrlProps/ctrlProp67.xml"/><Relationship Id="rId5" Type="http://schemas.openxmlformats.org/officeDocument/2006/relationships/ctrlProp" Target="../ctrlProps/ctrlProp66.xml"/><Relationship Id="rId4" Type="http://schemas.openxmlformats.org/officeDocument/2006/relationships/vmlDrawing" Target="../drawings/vmlDrawing19.v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13" Type="http://schemas.openxmlformats.org/officeDocument/2006/relationships/ctrlProp" Target="../ctrlProps/ctrlProp76.xml"/><Relationship Id="rId3" Type="http://schemas.openxmlformats.org/officeDocument/2006/relationships/drawing" Target="../drawings/drawing21.xml"/><Relationship Id="rId7" Type="http://schemas.openxmlformats.org/officeDocument/2006/relationships/ctrlProp" Target="../ctrlProps/ctrlProp70.xml"/><Relationship Id="rId12" Type="http://schemas.openxmlformats.org/officeDocument/2006/relationships/ctrlProp" Target="../ctrlProps/ctrlProp75.xml"/><Relationship Id="rId2" Type="http://schemas.openxmlformats.org/officeDocument/2006/relationships/printerSettings" Target="../printerSettings/printerSettings43.bin"/><Relationship Id="rId16" Type="http://schemas.openxmlformats.org/officeDocument/2006/relationships/ctrlProp" Target="../ctrlProps/ctrlProp79.xml"/><Relationship Id="rId1" Type="http://schemas.openxmlformats.org/officeDocument/2006/relationships/printerSettings" Target="../printerSettings/printerSettings42.bin"/><Relationship Id="rId6" Type="http://schemas.openxmlformats.org/officeDocument/2006/relationships/ctrlProp" Target="../ctrlProps/ctrlProp69.xml"/><Relationship Id="rId11" Type="http://schemas.openxmlformats.org/officeDocument/2006/relationships/ctrlProp" Target="../ctrlProps/ctrlProp74.xml"/><Relationship Id="rId5" Type="http://schemas.openxmlformats.org/officeDocument/2006/relationships/ctrlProp" Target="../ctrlProps/ctrlProp68.xml"/><Relationship Id="rId15" Type="http://schemas.openxmlformats.org/officeDocument/2006/relationships/ctrlProp" Target="../ctrlProps/ctrlProp78.xml"/><Relationship Id="rId10" Type="http://schemas.openxmlformats.org/officeDocument/2006/relationships/ctrlProp" Target="../ctrlProps/ctrlProp73.xml"/><Relationship Id="rId4" Type="http://schemas.openxmlformats.org/officeDocument/2006/relationships/vmlDrawing" Target="../drawings/vmlDrawing20.vml"/><Relationship Id="rId9" Type="http://schemas.openxmlformats.org/officeDocument/2006/relationships/ctrlProp" Target="../ctrlProps/ctrlProp72.xml"/><Relationship Id="rId14" Type="http://schemas.openxmlformats.org/officeDocument/2006/relationships/ctrlProp" Target="../ctrlProps/ctrlProp77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6" Type="http://schemas.openxmlformats.org/officeDocument/2006/relationships/ctrlProp" Target="../ctrlProps/ctrlProp81.xml"/><Relationship Id="rId5" Type="http://schemas.openxmlformats.org/officeDocument/2006/relationships/ctrlProp" Target="../ctrlProps/ctrlProp80.xml"/><Relationship Id="rId4" Type="http://schemas.openxmlformats.org/officeDocument/2006/relationships/vmlDrawing" Target="../drawings/vmlDrawing21.v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ctrlProp" Target="../ctrlProps/ctrlProp83.xml"/><Relationship Id="rId5" Type="http://schemas.openxmlformats.org/officeDocument/2006/relationships/ctrlProp" Target="../ctrlProps/ctrlProp82.xml"/><Relationship Id="rId4" Type="http://schemas.openxmlformats.org/officeDocument/2006/relationships/vmlDrawing" Target="../drawings/vmlDrawing22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49.bin"/><Relationship Id="rId1" Type="http://schemas.openxmlformats.org/officeDocument/2006/relationships/printerSettings" Target="../printerSettings/printerSettings48.bin"/><Relationship Id="rId6" Type="http://schemas.openxmlformats.org/officeDocument/2006/relationships/ctrlProp" Target="../ctrlProps/ctrlProp85.xml"/><Relationship Id="rId5" Type="http://schemas.openxmlformats.org/officeDocument/2006/relationships/ctrlProp" Target="../ctrlProps/ctrlProp84.xml"/><Relationship Id="rId4" Type="http://schemas.openxmlformats.org/officeDocument/2006/relationships/vmlDrawing" Target="../drawings/vmlDrawing23.v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0.xml"/><Relationship Id="rId3" Type="http://schemas.openxmlformats.org/officeDocument/2006/relationships/vmlDrawing" Target="../drawings/vmlDrawing24.vml"/><Relationship Id="rId7" Type="http://schemas.openxmlformats.org/officeDocument/2006/relationships/ctrlProp" Target="../ctrlProps/ctrlProp89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0.bin"/><Relationship Id="rId6" Type="http://schemas.openxmlformats.org/officeDocument/2006/relationships/ctrlProp" Target="../ctrlProps/ctrlProp88.xml"/><Relationship Id="rId5" Type="http://schemas.openxmlformats.org/officeDocument/2006/relationships/ctrlProp" Target="../ctrlProps/ctrlProp87.xml"/><Relationship Id="rId4" Type="http://schemas.openxmlformats.org/officeDocument/2006/relationships/ctrlProp" Target="../ctrlProps/ctrlProp86.xml"/><Relationship Id="rId9" Type="http://schemas.openxmlformats.org/officeDocument/2006/relationships/ctrlProp" Target="../ctrlProps/ctrlProp9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Relationship Id="rId6" Type="http://schemas.openxmlformats.org/officeDocument/2006/relationships/ctrlProp" Target="../ctrlProps/ctrlProp93.xml"/><Relationship Id="rId5" Type="http://schemas.openxmlformats.org/officeDocument/2006/relationships/ctrlProp" Target="../ctrlProps/ctrlProp92.xml"/><Relationship Id="rId4" Type="http://schemas.openxmlformats.org/officeDocument/2006/relationships/vmlDrawing" Target="../drawings/vmlDrawing2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DD5FB-9E9D-44F4-A78D-99B5201B4A58}">
  <sheetPr codeName="Sheet2">
    <pageSetUpPr fitToPage="1"/>
  </sheetPr>
  <dimension ref="B2:Q45"/>
  <sheetViews>
    <sheetView showGridLines="0" topLeftCell="A6" zoomScale="87" zoomScaleNormal="90" workbookViewId="0">
      <selection activeCell="M39" sqref="M39"/>
    </sheetView>
  </sheetViews>
  <sheetFormatPr defaultRowHeight="12.75"/>
  <cols>
    <col min="1" max="1" width="5.7109375" customWidth="1"/>
    <col min="2" max="2" width="0.7109375" customWidth="1"/>
    <col min="3" max="3" width="21" customWidth="1"/>
    <col min="4" max="4" width="0.7109375" customWidth="1"/>
    <col min="5" max="5" width="4.7109375" customWidth="1"/>
    <col min="6" max="6" width="0.7109375" style="127" customWidth="1"/>
    <col min="7" max="7" width="25.42578125" style="127" customWidth="1"/>
    <col min="8" max="8" width="0.7109375" style="127" customWidth="1"/>
    <col min="9" max="9" width="4.7109375" customWidth="1"/>
    <col min="10" max="10" width="0.7109375" customWidth="1"/>
    <col min="11" max="11" width="27.28515625" customWidth="1"/>
    <col min="12" max="12" width="0.7109375" customWidth="1"/>
  </cols>
  <sheetData>
    <row r="2" spans="2:12" ht="18">
      <c r="B2" s="120" t="s">
        <v>0</v>
      </c>
      <c r="C2" s="120"/>
      <c r="F2" s="121"/>
      <c r="G2" s="122" t="s">
        <v>1</v>
      </c>
      <c r="H2" s="123"/>
      <c r="I2" s="124"/>
      <c r="J2" s="124"/>
      <c r="K2" s="124"/>
    </row>
    <row r="3" spans="2:12" ht="15.75">
      <c r="B3" s="125"/>
      <c r="F3" s="121"/>
      <c r="G3" s="126"/>
    </row>
    <row r="4" spans="2:12">
      <c r="C4" s="128"/>
      <c r="G4" s="129"/>
    </row>
    <row r="6" spans="2:12" ht="3" customHeight="1">
      <c r="B6" s="828" t="s">
        <v>2</v>
      </c>
      <c r="C6" s="829"/>
      <c r="D6" s="1"/>
      <c r="E6" s="1"/>
      <c r="F6" s="828" t="s">
        <v>3</v>
      </c>
      <c r="G6" s="829"/>
      <c r="H6" s="130"/>
      <c r="I6" s="1"/>
      <c r="J6" s="824" t="s">
        <v>4</v>
      </c>
      <c r="K6" s="825"/>
    </row>
    <row r="7" spans="2:12" s="131" customFormat="1" ht="22.5" customHeight="1">
      <c r="B7" s="830"/>
      <c r="C7" s="831"/>
      <c r="D7" s="132"/>
      <c r="E7" s="133"/>
      <c r="F7" s="830"/>
      <c r="G7" s="831"/>
      <c r="H7" s="134"/>
      <c r="I7" s="133"/>
      <c r="J7" s="826"/>
      <c r="K7" s="827"/>
      <c r="L7" s="135"/>
    </row>
    <row r="8" spans="2:12" ht="3" customHeight="1">
      <c r="B8" s="1"/>
      <c r="C8" s="136"/>
      <c r="D8" s="112"/>
      <c r="E8" s="1"/>
      <c r="F8" s="130"/>
      <c r="G8" s="207"/>
      <c r="H8" s="208"/>
      <c r="I8" s="1"/>
      <c r="J8" s="1"/>
      <c r="K8" s="112"/>
      <c r="L8" s="109"/>
    </row>
    <row r="9" spans="2:12">
      <c r="B9" s="1"/>
      <c r="C9" s="1"/>
      <c r="D9" s="1"/>
      <c r="E9" s="1"/>
      <c r="F9" s="130"/>
      <c r="G9" s="130"/>
      <c r="H9" s="130"/>
      <c r="I9" s="1"/>
      <c r="J9" s="1"/>
      <c r="K9" s="1"/>
    </row>
    <row r="10" spans="2:12" ht="3" customHeight="1">
      <c r="B10" s="836" t="s">
        <v>5</v>
      </c>
      <c r="C10" s="837"/>
      <c r="D10" s="1"/>
      <c r="E10" s="1"/>
      <c r="F10" s="828" t="s">
        <v>6</v>
      </c>
      <c r="G10" s="840"/>
      <c r="H10" s="130"/>
      <c r="I10" s="1"/>
      <c r="J10" s="824" t="s">
        <v>7</v>
      </c>
      <c r="K10" s="825"/>
    </row>
    <row r="11" spans="2:12" s="131" customFormat="1" ht="21" customHeight="1">
      <c r="B11" s="838"/>
      <c r="C11" s="839"/>
      <c r="D11" s="132"/>
      <c r="E11" s="133"/>
      <c r="F11" s="841"/>
      <c r="G11" s="842"/>
      <c r="H11" s="134"/>
      <c r="I11" s="133"/>
      <c r="J11" s="826"/>
      <c r="K11" s="827"/>
      <c r="L11" s="135"/>
    </row>
    <row r="12" spans="2:12" ht="3" customHeight="1">
      <c r="B12" s="1"/>
      <c r="C12" s="136"/>
      <c r="D12" s="112"/>
      <c r="E12" s="1"/>
      <c r="F12" s="130"/>
      <c r="G12" s="137"/>
      <c r="H12" s="134"/>
      <c r="I12" s="1"/>
      <c r="J12" s="1"/>
      <c r="K12" s="112"/>
      <c r="L12" s="109"/>
    </row>
    <row r="13" spans="2:12">
      <c r="B13" s="1"/>
      <c r="C13" s="1"/>
      <c r="D13" s="1"/>
      <c r="E13" s="1"/>
      <c r="F13" s="130"/>
      <c r="G13" s="130"/>
      <c r="H13" s="130"/>
      <c r="I13" s="1"/>
      <c r="J13" s="1"/>
      <c r="K13" s="1"/>
    </row>
    <row r="14" spans="2:12" ht="3" customHeight="1">
      <c r="B14" s="832" t="s">
        <v>8</v>
      </c>
      <c r="C14" s="833"/>
      <c r="D14" s="1"/>
      <c r="E14" s="1"/>
      <c r="F14" s="828" t="s">
        <v>9</v>
      </c>
      <c r="G14" s="840"/>
      <c r="H14" s="130"/>
      <c r="I14" s="1"/>
      <c r="J14" s="824" t="s">
        <v>10</v>
      </c>
      <c r="K14" s="825"/>
    </row>
    <row r="15" spans="2:12" s="131" customFormat="1" ht="24.75" customHeight="1">
      <c r="B15" s="834"/>
      <c r="C15" s="835"/>
      <c r="D15" s="132"/>
      <c r="E15" s="133"/>
      <c r="F15" s="841"/>
      <c r="G15" s="842"/>
      <c r="H15" s="134"/>
      <c r="I15" s="133"/>
      <c r="J15" s="826"/>
      <c r="K15" s="827"/>
      <c r="L15" s="135"/>
    </row>
    <row r="16" spans="2:12" ht="3" customHeight="1">
      <c r="B16" s="1"/>
      <c r="C16" s="136"/>
      <c r="D16" s="112"/>
      <c r="E16" s="1"/>
      <c r="F16" s="130"/>
      <c r="G16" s="137"/>
      <c r="H16" s="134"/>
      <c r="I16" s="1"/>
      <c r="J16" s="1"/>
      <c r="K16" s="112"/>
      <c r="L16" s="109"/>
    </row>
    <row r="17" spans="2:17">
      <c r="B17" s="1"/>
      <c r="C17" s="1"/>
      <c r="D17" s="1"/>
      <c r="E17" s="1"/>
      <c r="F17" s="130"/>
      <c r="G17" s="130"/>
      <c r="H17" s="130"/>
      <c r="I17" s="1"/>
      <c r="J17" s="1"/>
      <c r="K17" s="1"/>
    </row>
    <row r="18" spans="2:17" ht="3" customHeight="1">
      <c r="B18" s="832" t="s">
        <v>11</v>
      </c>
      <c r="C18" s="833"/>
      <c r="D18" s="1"/>
      <c r="E18" s="1"/>
      <c r="F18" s="828" t="s">
        <v>12</v>
      </c>
      <c r="G18" s="840"/>
      <c r="H18" s="130"/>
      <c r="I18" s="1"/>
      <c r="J18" s="580"/>
      <c r="K18" s="581"/>
    </row>
    <row r="19" spans="2:17" s="138" customFormat="1" ht="21.75" customHeight="1">
      <c r="B19" s="834"/>
      <c r="C19" s="835"/>
      <c r="D19" s="139"/>
      <c r="E19" s="140"/>
      <c r="F19" s="841"/>
      <c r="G19" s="842"/>
      <c r="H19" s="141"/>
      <c r="I19" s="140"/>
      <c r="J19" s="582"/>
      <c r="K19" s="577" t="s">
        <v>13</v>
      </c>
      <c r="L19" s="142"/>
      <c r="Q19" s="131"/>
    </row>
    <row r="20" spans="2:17" ht="3" customHeight="1">
      <c r="B20" s="1"/>
      <c r="C20" s="136"/>
      <c r="D20" s="112"/>
      <c r="E20" s="1"/>
      <c r="F20" s="130"/>
      <c r="G20" s="137"/>
      <c r="H20" s="134"/>
      <c r="I20" s="1"/>
      <c r="J20" s="1"/>
      <c r="K20" s="112"/>
      <c r="L20" s="109"/>
    </row>
    <row r="21" spans="2:17">
      <c r="B21" s="1"/>
      <c r="C21" s="1"/>
      <c r="D21" s="1"/>
      <c r="E21" s="1"/>
      <c r="F21" s="130"/>
      <c r="G21" s="130"/>
      <c r="H21" s="130"/>
      <c r="I21" s="1"/>
      <c r="J21" s="1"/>
      <c r="K21" s="1"/>
    </row>
    <row r="22" spans="2:17" ht="3" customHeight="1">
      <c r="B22" s="832" t="s">
        <v>14</v>
      </c>
      <c r="C22" s="833"/>
      <c r="D22" s="1"/>
      <c r="E22" s="1"/>
      <c r="F22" s="828" t="s">
        <v>15</v>
      </c>
      <c r="G22" s="840"/>
      <c r="H22" s="130"/>
      <c r="I22" s="1"/>
      <c r="J22" s="851" t="s">
        <v>16</v>
      </c>
      <c r="K22" s="852"/>
    </row>
    <row r="23" spans="2:17" s="138" customFormat="1" ht="21.75" customHeight="1">
      <c r="B23" s="834"/>
      <c r="C23" s="835"/>
      <c r="D23" s="132"/>
      <c r="E23" s="140"/>
      <c r="F23" s="841"/>
      <c r="G23" s="842"/>
      <c r="H23" s="141"/>
      <c r="I23" s="140"/>
      <c r="J23" s="853"/>
      <c r="K23" s="854"/>
      <c r="L23" s="135"/>
    </row>
    <row r="24" spans="2:17" ht="3" customHeight="1">
      <c r="B24" s="1"/>
      <c r="C24" s="136"/>
      <c r="D24" s="112"/>
      <c r="E24" s="1"/>
      <c r="F24" s="130"/>
      <c r="G24" s="137"/>
      <c r="H24" s="134"/>
      <c r="I24" s="1"/>
      <c r="J24" s="1"/>
      <c r="K24" s="112"/>
      <c r="L24" s="109"/>
    </row>
    <row r="25" spans="2:17">
      <c r="B25" s="1"/>
      <c r="C25" s="1"/>
      <c r="D25" s="1"/>
      <c r="E25" s="1"/>
      <c r="F25" s="130"/>
      <c r="G25" s="130"/>
      <c r="H25" s="130"/>
      <c r="I25" s="1"/>
      <c r="J25" s="1"/>
      <c r="K25" s="1"/>
    </row>
    <row r="26" spans="2:17" ht="3" customHeight="1">
      <c r="E26" s="1"/>
      <c r="F26" s="828" t="s">
        <v>17</v>
      </c>
      <c r="G26" s="840"/>
      <c r="H26" s="261"/>
      <c r="I26" s="1"/>
      <c r="J26" s="828" t="s">
        <v>18</v>
      </c>
      <c r="K26" s="840"/>
      <c r="L26" s="261"/>
    </row>
    <row r="27" spans="2:17" s="131" customFormat="1" ht="22.5" customHeight="1">
      <c r="C27" s="851" t="s">
        <v>19</v>
      </c>
      <c r="D27" s="852"/>
      <c r="E27" s="133"/>
      <c r="F27" s="841"/>
      <c r="G27" s="842"/>
      <c r="H27" s="262"/>
      <c r="I27" s="133"/>
      <c r="J27" s="841"/>
      <c r="K27" s="842"/>
      <c r="L27" s="262"/>
    </row>
    <row r="28" spans="2:17" ht="3" customHeight="1">
      <c r="C28" s="853"/>
      <c r="D28" s="854"/>
      <c r="E28" s="1"/>
      <c r="F28" s="261"/>
      <c r="G28" s="263"/>
      <c r="H28" s="263"/>
      <c r="I28" s="1"/>
      <c r="J28" s="261"/>
      <c r="K28" s="263"/>
      <c r="L28" s="263"/>
    </row>
    <row r="29" spans="2:17">
      <c r="B29" s="1"/>
      <c r="C29" s="1"/>
      <c r="D29" s="1"/>
      <c r="E29" s="1"/>
      <c r="F29" s="130"/>
      <c r="G29" s="130"/>
      <c r="H29" s="130"/>
      <c r="I29" s="1"/>
      <c r="J29" s="1"/>
      <c r="K29" s="1"/>
    </row>
    <row r="30" spans="2:17">
      <c r="B30" s="1"/>
      <c r="C30" s="1"/>
      <c r="D30" s="1"/>
      <c r="E30" s="1"/>
      <c r="F30" s="130"/>
      <c r="G30" s="130"/>
      <c r="H30" s="130"/>
      <c r="I30" s="1"/>
      <c r="J30" s="1"/>
      <c r="K30" s="1"/>
    </row>
    <row r="31" spans="2:17">
      <c r="B31" s="1"/>
      <c r="C31" s="1"/>
      <c r="D31" s="1"/>
      <c r="E31" s="1"/>
      <c r="F31" s="130"/>
      <c r="G31" s="130"/>
      <c r="H31" s="130"/>
      <c r="I31" s="1"/>
      <c r="J31" s="1"/>
      <c r="K31" s="1"/>
    </row>
    <row r="32" spans="2:17">
      <c r="B32" s="1"/>
      <c r="C32" s="1"/>
      <c r="D32" s="1"/>
      <c r="E32" s="1"/>
      <c r="F32" s="130"/>
      <c r="G32" s="130"/>
      <c r="H32" s="130"/>
      <c r="I32" s="1"/>
      <c r="J32" s="1"/>
      <c r="K32" s="1"/>
    </row>
    <row r="33" spans="2:12">
      <c r="B33" s="1"/>
      <c r="C33" s="143" t="s">
        <v>20</v>
      </c>
      <c r="D33" s="1"/>
      <c r="E33" s="1"/>
      <c r="F33" s="130"/>
      <c r="G33" s="130"/>
      <c r="H33" s="130"/>
      <c r="I33" s="1"/>
      <c r="J33" s="1"/>
      <c r="K33" s="1"/>
    </row>
    <row r="34" spans="2:12">
      <c r="B34" s="1"/>
      <c r="C34" s="143"/>
      <c r="D34" s="1"/>
      <c r="E34" s="1"/>
      <c r="F34" s="130"/>
      <c r="G34" s="130"/>
      <c r="H34" s="130"/>
      <c r="I34" s="1"/>
      <c r="J34" s="1"/>
      <c r="K34" s="1"/>
    </row>
    <row r="35" spans="2:12" ht="3" customHeight="1">
      <c r="B35" s="843" t="s">
        <v>21</v>
      </c>
      <c r="C35" s="844"/>
      <c r="D35" s="1"/>
      <c r="E35" s="1"/>
      <c r="F35" s="847" t="s">
        <v>22</v>
      </c>
      <c r="G35" s="848"/>
      <c r="H35" s="130"/>
      <c r="I35" s="1"/>
      <c r="J35" s="847" t="s">
        <v>23</v>
      </c>
      <c r="K35" s="848"/>
    </row>
    <row r="36" spans="2:12" s="131" customFormat="1">
      <c r="B36" s="845"/>
      <c r="C36" s="846" t="s">
        <v>24</v>
      </c>
      <c r="D36" s="132"/>
      <c r="E36" s="133"/>
      <c r="F36" s="849"/>
      <c r="G36" s="850" t="s">
        <v>25</v>
      </c>
      <c r="H36" s="134"/>
      <c r="I36" s="133"/>
      <c r="J36" s="849"/>
      <c r="K36" s="850"/>
      <c r="L36" s="135"/>
    </row>
    <row r="37" spans="2:12" ht="3" customHeight="1">
      <c r="B37" s="1"/>
      <c r="C37" s="144"/>
      <c r="D37" s="112"/>
      <c r="E37" s="1"/>
      <c r="F37" s="130"/>
      <c r="G37" s="145"/>
      <c r="H37" s="134"/>
      <c r="I37" s="1"/>
      <c r="J37" s="1"/>
      <c r="K37" s="112"/>
      <c r="L37" s="109"/>
    </row>
    <row r="39" spans="2:12" ht="15.75">
      <c r="C39" s="740" t="s">
        <v>26</v>
      </c>
    </row>
    <row r="40" spans="2:12" ht="13.5" customHeight="1">
      <c r="B40" s="127"/>
      <c r="C40" s="743" t="s">
        <v>27</v>
      </c>
      <c r="D40" s="741"/>
      <c r="E40" s="741"/>
      <c r="F40" s="741"/>
      <c r="G40" s="741"/>
      <c r="H40" s="741"/>
      <c r="I40" s="741"/>
      <c r="J40" s="741"/>
      <c r="K40" s="741"/>
      <c r="L40" s="742"/>
    </row>
    <row r="41" spans="2:12" ht="14.25" customHeight="1">
      <c r="B41" s="127"/>
      <c r="C41" s="140" t="s">
        <v>28</v>
      </c>
      <c r="D41" s="138"/>
      <c r="E41" s="138"/>
      <c r="F41" s="138"/>
      <c r="G41" s="138"/>
      <c r="H41" s="138"/>
      <c r="I41" s="124"/>
      <c r="J41" s="124"/>
      <c r="K41" s="124"/>
    </row>
    <row r="42" spans="2:12">
      <c r="C42" s="1" t="s">
        <v>29</v>
      </c>
    </row>
    <row r="43" spans="2:12">
      <c r="B43" s="127"/>
      <c r="C43" s="1" t="s">
        <v>30</v>
      </c>
      <c r="D43" s="127"/>
      <c r="E43" s="127"/>
    </row>
    <row r="44" spans="2:12">
      <c r="B44" s="127"/>
      <c r="C44" s="1" t="s">
        <v>31</v>
      </c>
      <c r="D44" s="127"/>
      <c r="E44" s="127"/>
    </row>
    <row r="45" spans="2:12">
      <c r="B45" s="127"/>
      <c r="D45" s="127"/>
      <c r="E45" s="127"/>
    </row>
  </sheetData>
  <customSheetViews>
    <customSheetView guid="{504CC784-4394-4648-B9CE-DFC32001696E}" scale="90" showGridLines="0" fitToPage="1" showRuler="0">
      <selection activeCell="B10" sqref="B10:C11"/>
      <pageMargins left="0" right="0" top="0" bottom="0" header="0" footer="0"/>
      <pageSetup scale="75" orientation="portrait" r:id="rId1"/>
      <headerFooter alignWithMargins="0"/>
    </customSheetView>
  </customSheetViews>
  <mergeCells count="20">
    <mergeCell ref="B35:C36"/>
    <mergeCell ref="F35:G36"/>
    <mergeCell ref="J35:K36"/>
    <mergeCell ref="F26:G27"/>
    <mergeCell ref="B22:C23"/>
    <mergeCell ref="C27:D28"/>
    <mergeCell ref="J22:K23"/>
    <mergeCell ref="J26:K27"/>
    <mergeCell ref="F22:G23"/>
    <mergeCell ref="B18:C19"/>
    <mergeCell ref="B10:C11"/>
    <mergeCell ref="F18:G19"/>
    <mergeCell ref="F6:G7"/>
    <mergeCell ref="F10:G11"/>
    <mergeCell ref="F14:G15"/>
    <mergeCell ref="J6:K7"/>
    <mergeCell ref="J10:K11"/>
    <mergeCell ref="J14:K15"/>
    <mergeCell ref="B6:C7"/>
    <mergeCell ref="B14:C15"/>
  </mergeCells>
  <phoneticPr fontId="22" type="noConversion"/>
  <hyperlinks>
    <hyperlink ref="B14" location="'Financial Statements'!A1" display="'Financial Statements'!A1" xr:uid="{D1709708-05AE-4E7A-B97B-180242A44CC1}"/>
    <hyperlink ref="B18" location="SL!A1" display="SL!A1" xr:uid="{87C41BAA-DE07-4988-9146-AA28DC4DF0FD}"/>
    <hyperlink ref="F6" location="'Schedule 1_Cash in Bank'!A1" display="'Schedule 1_Cash in Bank'!A1" xr:uid="{906058F0-CD2E-4999-B382-F450B001D475}"/>
    <hyperlink ref="F10" location="'Schedule 2_Placement'!A1" display="'Schedule 2_Placement'!A1" xr:uid="{EF3066F0-5866-41CF-A704-3FC249B43034}"/>
    <hyperlink ref="F14" location="'Schedule 3_Marketable Sec.'!A1" display="'Schedule 3_Marketable Sec.'!A1" xr:uid="{D57E862C-9584-472C-A8A7-15E254A7E1DC}"/>
    <hyperlink ref="F22" location="'Schedule 4_Security Valuation'!A1" display="'Schedule 4_Security Valuation'!A1" xr:uid="{4A921B56-11D0-4379-95FB-3C7FEF75914C}"/>
    <hyperlink ref="B22:C23" location="'Core Equity'!A1" display="'Core Equity'!A1" xr:uid="{9383CD01-17E6-4194-B302-73079DCF5F90}"/>
    <hyperlink ref="B35:C36" location="'LERR-CLIENT'!A1" display="LERR1 - CLIENT" xr:uid="{BD2BA868-1013-448E-A292-D8B6A3AED372}"/>
    <hyperlink ref="F35:G36" location="'LERR-DEBT'!A1" display="LERR2 - DEBT" xr:uid="{84C68387-35E9-47D0-9C30-E808146EDCDB}"/>
    <hyperlink ref="J35" location="'LERR3-ISSUER'!A1" display="'LERR3-ISSUER'!A1" xr:uid="{710E5D94-F5D4-40F6-8510-8A4E97B5A59C}"/>
    <hyperlink ref="J6:K7" location="ORR!A1" display="ORR!A1" xr:uid="{2356971B-280B-4F22-A89C-1825897882E2}"/>
    <hyperlink ref="J10:K11" location="PRR!A1" display="PRR!A1" xr:uid="{6E319FC4-37A8-45C3-893F-E5FD6AAAE9FA}"/>
    <hyperlink ref="J14:K15" location="CRR!A1" display="CRR!A1" xr:uid="{098985FD-6007-4713-A5B4-D286DBF329D5}"/>
    <hyperlink ref="C6:C7" location="RBC!A1" display="RBC!A1" xr:uid="{E38F2971-CCFC-4843-965D-C3F25F6C769B}"/>
    <hyperlink ref="J26" location="Others!A1" display="Others!A1" xr:uid="{47928E37-3B43-47F8-B1D2-CDB16359F072}"/>
    <hyperlink ref="F22:G23" location="Recon!A1" display="RBC Reconciliation" xr:uid="{702190E2-3E40-4CF7-812F-4B04D3C0770F}"/>
    <hyperlink ref="J35:K36" location="'LERR-ISSUER'!A1" display="LERR3 - ISSUER" xr:uid="{806EEDEC-9608-4A77-AFFB-AD6E1B8800E2}"/>
    <hyperlink ref="F26:H28" location="Receivables!A1" display="Receivables!A1" xr:uid="{EDD1BD1E-1B5A-4779-968B-0A9C742C14FA}"/>
    <hyperlink ref="F6:G7" location="'Cash in Bank'!A1" display="'Cash in Bank'!A1" xr:uid="{CE0CF7AC-596A-4B53-8AB5-E92CF664063B}"/>
    <hyperlink ref="F10:G11" location="'Placement'!A1" display="'Placement'!A1" xr:uid="{1C0E93A0-6C55-45DF-BD39-B7AAF5364DDC}"/>
    <hyperlink ref="F14:G15" location="'MS-25%'!A1" display="'MS-25%'!A1" xr:uid="{AC67B179-E997-4F2B-B1E7-D32574DC1143}"/>
    <hyperlink ref="F18:G19" location="'MS-Others'!A1" display="'MS-Others'!A1" xr:uid="{8385312D-30C5-4778-9147-D278E5168D3B}"/>
    <hyperlink ref="J22:K23" location="'reserve formula-detailed'!A1" display="'reserve formula-detailed'!A1" xr:uid="{21E418D1-E278-4641-AAB0-112F4EC2FC9C}"/>
    <hyperlink ref="K19" location="'Reserve Formula'!A1" display="'Reserve Formula'!A1" xr:uid="{FA75EBEA-00E1-46A1-9903-A24F1095EAB3}"/>
    <hyperlink ref="B6:C7" location="RBC!A1" display="RISK-BASED CAPITAL" xr:uid="{5D6E4154-97E1-488A-85B4-B2418FF8EE10}"/>
    <hyperlink ref="B10:C11" location="'trial balance'!A1" display="Trial Balance" xr:uid="{DA5428C6-8DB2-4422-A850-20F57F3247ED}"/>
    <hyperlink ref="C27:D28" location="UPC!Print_Area" display="Unimpaired Paid-Up Capital" xr:uid="{EA3418E2-475C-46E7-A098-FCCE53EB0C8D}"/>
  </hyperlinks>
  <pageMargins left="0.75" right="0.75" top="1" bottom="1" header="0.5" footer="0.5"/>
  <pageSetup scale="88" orientation="portrait" r:id="rId2"/>
  <headerFooter alignWithMargins="0">
    <oddFooter>&amp;CPage &amp;P of &amp;N&amp;R&amp;A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AD871-3228-4B3D-A7D1-410A9C66C120}">
  <sheetPr codeName="Sheet3">
    <pageSetUpPr fitToPage="1"/>
  </sheetPr>
  <dimension ref="A1:C74"/>
  <sheetViews>
    <sheetView showGridLines="0" tabSelected="1" zoomScaleNormal="100" zoomScaleSheetLayoutView="100" workbookViewId="0">
      <pane ySplit="3" topLeftCell="A4" activePane="bottomLeft" state="frozen"/>
      <selection pane="bottomLeft" activeCell="I12" sqref="I12"/>
      <selection activeCell="G2" sqref="G2"/>
    </sheetView>
  </sheetViews>
  <sheetFormatPr defaultColWidth="9.28515625" defaultRowHeight="11.25"/>
  <cols>
    <col min="1" max="1" width="52.7109375" style="22" customWidth="1"/>
    <col min="2" max="2" width="1.42578125" style="22" customWidth="1"/>
    <col min="3" max="3" width="27.7109375" style="22" customWidth="1"/>
    <col min="4" max="4" width="1.7109375" style="22" customWidth="1"/>
    <col min="5" max="16384" width="9.28515625" style="22"/>
  </cols>
  <sheetData>
    <row r="1" spans="1:3">
      <c r="A1" s="855" t="str">
        <f>+'trial balance'!A1</f>
        <v>NAME OF THE TRADING PARTICIPANT</v>
      </c>
      <c r="B1" s="856"/>
      <c r="C1" s="856"/>
    </row>
    <row r="2" spans="1:3">
      <c r="A2" s="857" t="s">
        <v>32</v>
      </c>
      <c r="B2" s="857"/>
      <c r="C2" s="857"/>
    </row>
    <row r="3" spans="1:3">
      <c r="A3" s="858" t="str">
        <f>+'trial balance'!A3</f>
        <v>mm/dd/yyyy</v>
      </c>
      <c r="B3" s="858"/>
      <c r="C3" s="858"/>
    </row>
    <row r="4" spans="1:3">
      <c r="A4" s="357"/>
      <c r="B4" s="358"/>
      <c r="C4" s="359"/>
    </row>
    <row r="5" spans="1:3">
      <c r="A5" s="243" t="s">
        <v>33</v>
      </c>
      <c r="B5" s="360"/>
      <c r="C5" s="542">
        <f>+'Financial Statements'!J13</f>
        <v>0</v>
      </c>
    </row>
    <row r="6" spans="1:3">
      <c r="A6" s="243" t="s">
        <v>34</v>
      </c>
      <c r="B6" s="360"/>
      <c r="C6" s="542">
        <f>+'Financial Statements'!J74-'trial balance'!C118</f>
        <v>0</v>
      </c>
    </row>
    <row r="7" spans="1:3">
      <c r="A7" s="243" t="s">
        <v>35</v>
      </c>
      <c r="B7" s="360"/>
      <c r="C7" s="542">
        <f>+C5-C6</f>
        <v>0</v>
      </c>
    </row>
    <row r="8" spans="1:3">
      <c r="A8" s="361"/>
      <c r="B8" s="362"/>
      <c r="C8" s="543"/>
    </row>
    <row r="9" spans="1:3">
      <c r="A9" s="243" t="s">
        <v>36</v>
      </c>
      <c r="B9" s="360"/>
      <c r="C9" s="542"/>
    </row>
    <row r="10" spans="1:3">
      <c r="A10" s="361" t="s">
        <v>37</v>
      </c>
      <c r="B10" s="362"/>
      <c r="C10" s="543"/>
    </row>
    <row r="11" spans="1:3">
      <c r="A11" s="361" t="s">
        <v>38</v>
      </c>
      <c r="B11" s="362"/>
      <c r="C11" s="543">
        <f>'trial balance'!C17</f>
        <v>0</v>
      </c>
    </row>
    <row r="12" spans="1:3">
      <c r="A12" s="361" t="s">
        <v>39</v>
      </c>
      <c r="B12" s="362"/>
      <c r="C12" s="543">
        <f>SL!Q25</f>
        <v>0</v>
      </c>
    </row>
    <row r="13" spans="1:3">
      <c r="A13" s="361" t="s">
        <v>40</v>
      </c>
      <c r="B13" s="362"/>
      <c r="C13" s="543">
        <f>-'MS-25%'!$H$8</f>
        <v>0</v>
      </c>
    </row>
    <row r="14" spans="1:3">
      <c r="A14" s="361" t="s">
        <v>41</v>
      </c>
      <c r="B14" s="362"/>
      <c r="C14" s="543">
        <f>-'Financial Statements'!I70</f>
        <v>0</v>
      </c>
    </row>
    <row r="15" spans="1:3">
      <c r="A15" s="363" t="str">
        <f>"        Deposit for Future Stock Subscription (No application with SEC)"</f>
        <v xml:space="preserve">        Deposit for Future Stock Subscription (No application with SEC)</v>
      </c>
      <c r="B15" s="362"/>
      <c r="C15" s="543">
        <f>-Others!F26</f>
        <v>0</v>
      </c>
    </row>
    <row r="16" spans="1:3">
      <c r="A16" s="363" t="s">
        <v>42</v>
      </c>
      <c r="B16" s="362"/>
      <c r="C16" s="543">
        <f>-Others!B69</f>
        <v>0</v>
      </c>
    </row>
    <row r="17" spans="1:3">
      <c r="A17" s="243" t="s">
        <v>43</v>
      </c>
      <c r="B17" s="362"/>
      <c r="C17" s="542">
        <f>SUM(C11:C16)</f>
        <v>0</v>
      </c>
    </row>
    <row r="18" spans="1:3">
      <c r="A18" s="361"/>
      <c r="B18" s="362"/>
      <c r="C18" s="543"/>
    </row>
    <row r="19" spans="1:3">
      <c r="A19" s="243" t="s">
        <v>44</v>
      </c>
      <c r="B19" s="362"/>
      <c r="C19" s="544">
        <f>+C7+C17</f>
        <v>0</v>
      </c>
    </row>
    <row r="20" spans="1:3">
      <c r="A20" s="361"/>
      <c r="B20" s="362"/>
      <c r="C20" s="543"/>
    </row>
    <row r="21" spans="1:3">
      <c r="A21" s="243" t="s">
        <v>45</v>
      </c>
      <c r="B21" s="362"/>
      <c r="C21" s="543"/>
    </row>
    <row r="22" spans="1:3">
      <c r="A22" s="363" t="s">
        <v>46</v>
      </c>
      <c r="B22" s="362"/>
      <c r="C22" s="543">
        <f>Others!E77</f>
        <v>0</v>
      </c>
    </row>
    <row r="23" spans="1:3">
      <c r="A23" s="363" t="s">
        <v>47</v>
      </c>
      <c r="B23" s="362"/>
      <c r="C23" s="543">
        <f>Others!E85</f>
        <v>0</v>
      </c>
    </row>
    <row r="24" spans="1:3">
      <c r="A24" s="361"/>
      <c r="B24" s="362"/>
      <c r="C24" s="543"/>
    </row>
    <row r="25" spans="1:3">
      <c r="A25" s="243" t="s">
        <v>48</v>
      </c>
      <c r="B25" s="360"/>
      <c r="C25" s="542"/>
    </row>
    <row r="26" spans="1:3">
      <c r="A26" s="361" t="s">
        <v>49</v>
      </c>
      <c r="B26" s="362"/>
      <c r="C26" s="543">
        <f>+'Financial Statements'!J66</f>
        <v>0</v>
      </c>
    </row>
    <row r="27" spans="1:3">
      <c r="A27" s="361" t="s">
        <v>50</v>
      </c>
      <c r="B27" s="362"/>
      <c r="C27" s="543">
        <f>+'Financial Statements'!J48</f>
        <v>0</v>
      </c>
    </row>
    <row r="28" spans="1:3">
      <c r="A28" s="361" t="s">
        <v>51</v>
      </c>
      <c r="B28" s="362"/>
      <c r="C28" s="543">
        <f>+'Financial Statements'!J52-C60</f>
        <v>0</v>
      </c>
    </row>
    <row r="29" spans="1:3">
      <c r="A29" s="361" t="s">
        <v>52</v>
      </c>
      <c r="B29" s="362"/>
      <c r="C29" s="543">
        <f>+'Financial Statements'!I45</f>
        <v>0</v>
      </c>
    </row>
    <row r="30" spans="1:3">
      <c r="A30" s="361" t="s">
        <v>53</v>
      </c>
      <c r="B30" s="362"/>
      <c r="C30" s="543">
        <f>+'Financial Statements'!I35+'Financial Statements'!J39+'Financial Statements'!J43-'Financial Statements'!I45+Placement!C46</f>
        <v>0</v>
      </c>
    </row>
    <row r="31" spans="1:3">
      <c r="A31" s="361" t="s">
        <v>54</v>
      </c>
      <c r="B31" s="362"/>
      <c r="C31" s="543">
        <f>+'Financial Statements'!J49-'MS-Others'!F175</f>
        <v>0</v>
      </c>
    </row>
    <row r="32" spans="1:3">
      <c r="A32" s="361" t="s">
        <v>55</v>
      </c>
      <c r="B32" s="362"/>
      <c r="C32" s="543">
        <f>Others!C13</f>
        <v>0</v>
      </c>
    </row>
    <row r="33" spans="1:3">
      <c r="A33" s="361" t="s">
        <v>56</v>
      </c>
      <c r="B33" s="362"/>
      <c r="C33" s="543">
        <f>+'Financial Statements'!I32</f>
        <v>0</v>
      </c>
    </row>
    <row r="34" spans="1:3">
      <c r="A34" s="361" t="s">
        <v>57</v>
      </c>
      <c r="B34" s="362"/>
      <c r="C34" s="543">
        <f>Others!D34</f>
        <v>0</v>
      </c>
    </row>
    <row r="35" spans="1:3">
      <c r="A35" s="760" t="s">
        <v>58</v>
      </c>
      <c r="B35" s="362"/>
      <c r="C35" s="543">
        <f>Others!E42</f>
        <v>0</v>
      </c>
    </row>
    <row r="36" spans="1:3">
      <c r="A36" s="760" t="s">
        <v>59</v>
      </c>
      <c r="B36" s="362"/>
      <c r="C36" s="543">
        <f>Others!D52</f>
        <v>0</v>
      </c>
    </row>
    <row r="37" spans="1:3">
      <c r="A37" s="361" t="s">
        <v>60</v>
      </c>
      <c r="B37" s="362"/>
      <c r="C37" s="543">
        <f>Others!D58</f>
        <v>0</v>
      </c>
    </row>
    <row r="38" spans="1:3">
      <c r="A38" s="361" t="s">
        <v>61</v>
      </c>
      <c r="B38" s="362"/>
      <c r="C38" s="543">
        <f>Others!D64</f>
        <v>0</v>
      </c>
    </row>
    <row r="39" spans="1:3">
      <c r="A39" s="361" t="s">
        <v>62</v>
      </c>
      <c r="B39" s="360"/>
      <c r="C39" s="543">
        <f>+'Financial Statements'!J50+'Financial Statements'!J69-'Financial Statements'!I70+'Financial Statements'!J47-Placement!C76</f>
        <v>0</v>
      </c>
    </row>
    <row r="40" spans="1:3">
      <c r="A40" s="361" t="s">
        <v>63</v>
      </c>
      <c r="B40" s="362"/>
      <c r="C40" s="542">
        <f>SUM(C26:C39)</f>
        <v>0</v>
      </c>
    </row>
    <row r="41" spans="1:3">
      <c r="C41" s="545"/>
    </row>
    <row r="42" spans="1:3">
      <c r="A42" s="356" t="s">
        <v>64</v>
      </c>
      <c r="B42" s="360"/>
      <c r="C42" s="546">
        <f>(+C19-C22-C23-C40)</f>
        <v>0</v>
      </c>
    </row>
    <row r="43" spans="1:3">
      <c r="A43" s="243" t="s">
        <v>65</v>
      </c>
      <c r="B43" s="360"/>
      <c r="C43" s="542"/>
    </row>
    <row r="44" spans="1:3">
      <c r="A44" s="363" t="s">
        <v>66</v>
      </c>
      <c r="B44" s="360"/>
      <c r="C44" s="542">
        <f>+ORR!E24</f>
        <v>0</v>
      </c>
    </row>
    <row r="45" spans="1:3">
      <c r="A45" s="363" t="s">
        <v>67</v>
      </c>
      <c r="B45" s="360"/>
      <c r="C45" s="542">
        <f>+PRR!F23</f>
        <v>0</v>
      </c>
    </row>
    <row r="46" spans="1:3">
      <c r="A46" s="363" t="s">
        <v>68</v>
      </c>
      <c r="B46" s="360"/>
      <c r="C46" s="542">
        <f>CRR!I17</f>
        <v>0</v>
      </c>
    </row>
    <row r="47" spans="1:3">
      <c r="A47" s="243" t="s">
        <v>69</v>
      </c>
      <c r="B47" s="360"/>
      <c r="C47" s="544"/>
    </row>
    <row r="48" spans="1:3">
      <c r="A48" s="363" t="s">
        <v>70</v>
      </c>
      <c r="B48" s="360"/>
      <c r="C48" s="542">
        <f>'LERR-CLIENT'!E27</f>
        <v>0</v>
      </c>
    </row>
    <row r="49" spans="1:3">
      <c r="A49" s="363" t="s">
        <v>71</v>
      </c>
      <c r="B49" s="360"/>
      <c r="C49" s="542">
        <f>'LERR-DEBT'!F24</f>
        <v>0</v>
      </c>
    </row>
    <row r="50" spans="1:3">
      <c r="A50" s="363" t="s">
        <v>72</v>
      </c>
      <c r="B50" s="360"/>
      <c r="C50" s="542">
        <f>'LERR-ISSUER'!L22</f>
        <v>0</v>
      </c>
    </row>
    <row r="51" spans="1:3">
      <c r="A51" s="243"/>
      <c r="B51" s="360"/>
      <c r="C51" s="542"/>
    </row>
    <row r="52" spans="1:3">
      <c r="A52" s="356" t="s">
        <v>73</v>
      </c>
      <c r="B52" s="360"/>
      <c r="C52" s="546">
        <f>SUM(C44:C51)</f>
        <v>0</v>
      </c>
    </row>
    <row r="53" spans="1:3">
      <c r="A53" s="243"/>
      <c r="B53" s="360"/>
      <c r="C53" s="542"/>
    </row>
    <row r="54" spans="1:3">
      <c r="A54" s="243" t="s">
        <v>74</v>
      </c>
      <c r="B54" s="362"/>
      <c r="C54" s="542">
        <f>+C42-C52</f>
        <v>0</v>
      </c>
    </row>
    <row r="55" spans="1:3">
      <c r="A55" s="243" t="s">
        <v>34</v>
      </c>
      <c r="B55" s="360"/>
      <c r="C55" s="542">
        <f>C6</f>
        <v>0</v>
      </c>
    </row>
    <row r="56" spans="1:3">
      <c r="A56" s="447" t="s">
        <v>75</v>
      </c>
      <c r="B56" s="360"/>
      <c r="C56" s="542">
        <f>+Others!F26</f>
        <v>0</v>
      </c>
    </row>
    <row r="57" spans="1:3">
      <c r="A57" s="361" t="s">
        <v>76</v>
      </c>
      <c r="B57" s="362"/>
      <c r="C57" s="543"/>
    </row>
    <row r="58" spans="1:3">
      <c r="A58" s="363" t="s">
        <v>77</v>
      </c>
      <c r="B58" s="362"/>
      <c r="C58" s="543">
        <f>+C12</f>
        <v>0</v>
      </c>
    </row>
    <row r="59" spans="1:3">
      <c r="A59" s="363" t="s">
        <v>78</v>
      </c>
      <c r="B59" s="362"/>
      <c r="C59" s="543">
        <f>Others!G136</f>
        <v>0</v>
      </c>
    </row>
    <row r="60" spans="1:3">
      <c r="A60" s="363" t="s">
        <v>79</v>
      </c>
      <c r="B60" s="362"/>
      <c r="C60" s="543">
        <f>Others!G102</f>
        <v>0</v>
      </c>
    </row>
    <row r="61" spans="1:3">
      <c r="A61" s="363" t="s">
        <v>80</v>
      </c>
      <c r="B61" s="362"/>
      <c r="C61" s="543">
        <f>+Others!G148</f>
        <v>0</v>
      </c>
    </row>
    <row r="62" spans="1:3">
      <c r="A62" s="243" t="s">
        <v>81</v>
      </c>
      <c r="B62" s="360"/>
      <c r="C62" s="542">
        <f>C56-SUM(C58:C61)</f>
        <v>0</v>
      </c>
    </row>
    <row r="63" spans="1:3">
      <c r="A63" s="243" t="s">
        <v>82</v>
      </c>
      <c r="B63" s="360"/>
      <c r="C63" s="542">
        <f>+C55+C62</f>
        <v>0</v>
      </c>
    </row>
    <row r="64" spans="1:3">
      <c r="A64" s="243" t="s">
        <v>83</v>
      </c>
      <c r="B64" s="360"/>
      <c r="C64" s="542">
        <f>+C63*0.05</f>
        <v>0</v>
      </c>
    </row>
    <row r="65" spans="1:3">
      <c r="A65" s="356" t="s">
        <v>84</v>
      </c>
      <c r="B65" s="360"/>
      <c r="C65" s="546">
        <f>IF(C64&gt;5000000,C64,5000000)</f>
        <v>5000000</v>
      </c>
    </row>
    <row r="66" spans="1:3">
      <c r="A66" s="356" t="s">
        <v>85</v>
      </c>
      <c r="B66" s="360"/>
      <c r="C66" s="546">
        <f>C42-C65</f>
        <v>-5000000</v>
      </c>
    </row>
    <row r="67" spans="1:3">
      <c r="A67" s="356" t="s">
        <v>86</v>
      </c>
      <c r="B67" s="360"/>
      <c r="C67" s="487" t="e">
        <f>+C63/C42</f>
        <v>#DIV/0!</v>
      </c>
    </row>
    <row r="68" spans="1:3">
      <c r="A68" s="356" t="s">
        <v>87</v>
      </c>
      <c r="B68" s="362"/>
      <c r="C68" s="487" t="e">
        <f>+C42/C52</f>
        <v>#DIV/0!</v>
      </c>
    </row>
    <row r="69" spans="1:3">
      <c r="A69" s="541">
        <f ca="1">TODAY()</f>
        <v>45547</v>
      </c>
      <c r="B69" s="540"/>
      <c r="C69" s="540"/>
    </row>
    <row r="70" spans="1:3">
      <c r="B70" s="362"/>
      <c r="C70" s="744"/>
    </row>
    <row r="71" spans="1:3">
      <c r="A71" s="821" t="s">
        <v>88</v>
      </c>
    </row>
    <row r="72" spans="1:3">
      <c r="A72" s="21" t="s">
        <v>87</v>
      </c>
      <c r="C72" s="822" t="str">
        <f>IF(TYPE(C68)=16,"ERROR",IF(C68&gt;=1.2,"normal",IF(AND(C68&lt;1.2,C68&gt;=1.1),"Report within 24 Hours:  RBCA Ratio is below the 120% Requirement",IF(C68&lt;1.1,"TP to cease business and notify SEC and CMIC:  RBCA Ratio is below the 110% Requirement",IF(C68&lt;0,"Report within 24 Hours:  Negative RBCA ratio")))))</f>
        <v>ERROR</v>
      </c>
    </row>
    <row r="73" spans="1:3">
      <c r="A73" s="21" t="s">
        <v>89</v>
      </c>
      <c r="C73" s="822" t="str">
        <f>IF(TYPE(C67)=16,"ERROR",IF(AND(C67&lt;=17,C67&gt;0),"normal",IF(C67&gt;17,"Report within 24 Hours:  Aggregate Indebtedness exceeds 1700% of Net Liquid Capital",IF(C67&lt;0,"Report within 24 Hours:  Negative AI to NLC ratio"))))</f>
        <v>ERROR</v>
      </c>
    </row>
    <row r="74" spans="1:3">
      <c r="A74" s="21" t="s">
        <v>90</v>
      </c>
      <c r="C74" s="822" t="str">
        <f>IF(C42&gt;=C65,"normal",IF(AND(C42&lt;C65,C42&gt;0),"TP to cease business and notify SEC and CMIC:  NLC is below the Minimum Requirement",IF(C42&lt;0,"Report within 24 Hours: Insolvent",IF(C42=0,"NO VALUE"))))</f>
        <v>NO VALUE</v>
      </c>
    </row>
  </sheetData>
  <sheetProtection password="9399" sheet="1"/>
  <customSheetViews>
    <customSheetView guid="{504CC784-4394-4648-B9CE-DFC32001696E}" showGridLines="0" fitToPage="1" showRuler="0">
      <pane ySplit="3" topLeftCell="A4" activePane="bottomLeft" state="frozen"/>
      <selection pane="bottomLeft" activeCell="C18" sqref="C18"/>
      <pageMargins left="0" right="0" top="0" bottom="0" header="0" footer="0"/>
      <printOptions horizontalCentered="1" verticalCentered="1"/>
      <pageSetup scale="93" orientation="portrait" horizontalDpi="4294967293" r:id="rId1"/>
      <headerFooter alignWithMargins="0"/>
    </customSheetView>
  </customSheetViews>
  <mergeCells count="3">
    <mergeCell ref="A1:C1"/>
    <mergeCell ref="A2:C2"/>
    <mergeCell ref="A3:C3"/>
  </mergeCells>
  <phoneticPr fontId="22" type="noConversion"/>
  <conditionalFormatting sqref="C72">
    <cfRule type="containsText" dxfId="12" priority="1" stopIfTrue="1" operator="containsText" text="TP to cease business and notify SEC and CMIC:  RBCA Ratio is below the 110% Requirement">
      <formula>NOT(ISERROR(SEARCH("TP to cease business and notify SEC and CMIC:  RBCA Ratio is below the 110% Requirement",C72)))</formula>
    </cfRule>
    <cfRule type="containsText" dxfId="11" priority="9" stopIfTrue="1" operator="containsText" text="ERROR">
      <formula>NOT(ISERROR(SEARCH("ERROR",C72)))</formula>
    </cfRule>
    <cfRule type="containsText" dxfId="10" priority="10" stopIfTrue="1" operator="containsText" text="Report within 24 Hours:  Negative RBCA ratio">
      <formula>NOT(ISERROR(SEARCH("Report within 24 Hours:  Negative RBCA ratio",C72)))</formula>
    </cfRule>
    <cfRule type="containsText" dxfId="9" priority="11" stopIfTrue="1" operator="containsText" text="Report within 24 Hours:  RBCA Ratio is below the 120% Requirement">
      <formula>NOT(ISERROR(SEARCH("Report within 24 Hours:  RBCA Ratio is below the 120% Requirement",C72)))</formula>
    </cfRule>
  </conditionalFormatting>
  <conditionalFormatting sqref="C73">
    <cfRule type="containsText" dxfId="8" priority="6" stopIfTrue="1" operator="containsText" text="ERROR">
      <formula>NOT(ISERROR(SEARCH("ERROR",C73)))</formula>
    </cfRule>
    <cfRule type="containsText" dxfId="7" priority="7" stopIfTrue="1" operator="containsText" text="Report within 24 Hours:  Negative AI to NLC ratio">
      <formula>NOT(ISERROR(SEARCH("Report within 24 Hours:  Negative AI to NLC ratio",C73)))</formula>
    </cfRule>
    <cfRule type="containsText" dxfId="6" priority="8" stopIfTrue="1" operator="containsText" text="Report within 24 Hours:  Aggregate Indebtedness exceeds 1700% of Net Liquid Capital">
      <formula>NOT(ISERROR(SEARCH("Report within 24 Hours:  Aggregate Indebtedness exceeds 1700% of Net Liquid Capital",C73)))</formula>
    </cfRule>
  </conditionalFormatting>
  <conditionalFormatting sqref="C74">
    <cfRule type="containsText" dxfId="5" priority="2" stopIfTrue="1" operator="containsText" text="NO VALUE">
      <formula>NOT(ISERROR(SEARCH("NO VALUE",C74)))</formula>
    </cfRule>
    <cfRule type="containsText" dxfId="4" priority="4" stopIfTrue="1" operator="containsText" text="Report within 24 Hours: Insolvent">
      <formula>NOT(ISERROR(SEARCH("Report within 24 Hours: Insolvent",C74)))</formula>
    </cfRule>
    <cfRule type="containsText" dxfId="3" priority="5" stopIfTrue="1" operator="containsText" text="TP to cease business and notify SEC and CMIC:  NLC is below the Minimum Requirement">
      <formula>NOT(ISERROR(SEARCH("TP to cease business and notify SEC and CMIC:  NLC is below the Minimum Requirement",C74)))</formula>
    </cfRule>
  </conditionalFormatting>
  <hyperlinks>
    <hyperlink ref="A60" location="Others!A1" display="Others!A1" xr:uid="{DAB892E4-462A-4DBD-AEAF-02905317FFE8}"/>
    <hyperlink ref="A35" location="Others!B30" display="i.   Ineligible Insurance claims " xr:uid="{37EE28FC-8576-4EEA-88AB-BA7F81A45790}"/>
    <hyperlink ref="A36" location="Others!B40" display="j.  Ineligible Deposits" xr:uid="{8DE23972-6CBF-4C34-B37D-E2F650AEE8F3}"/>
    <hyperlink ref="A22" location="Others!B65" display="Deduct:    Contingent Liability" xr:uid="{86625E86-AF26-43A4-893E-0FDE5E3E58AA}"/>
    <hyperlink ref="A23" location="Others!B73" display="                Guarantees or indemnities" xr:uid="{6D6C06CA-397D-47FD-B00D-6AA405D253F7}"/>
    <hyperlink ref="A59" location="Others!B116" display="          Loans secured by securities" xr:uid="{96138AAF-948D-4BA4-8C20-DAFD015FFB55}"/>
    <hyperlink ref="A58" location="SL!A1" display="          Subordinated Liabilites " xr:uid="{7785C77B-58DF-43F9-B28E-B1B5BB96F8C2}"/>
    <hyperlink ref="A44" location="ORR!A1" display="          Operational Risk Reqt (Schedule ORR-1)" xr:uid="{09D3D2A1-AB6D-4D12-958D-98864345E9DA}"/>
    <hyperlink ref="A45" location="PRR!A1" display="          Position Risk Reqt (Schedule PRR-1)" xr:uid="{80D4DC93-F687-4825-A8B5-0AA178915846}"/>
    <hyperlink ref="A46" location="CRR!A1" display="          Counterparty Risk (Schedule CRR-1 and detailed schedules)" xr:uid="{6C7FCF6C-E834-4277-BA2F-5F3678B27900}"/>
    <hyperlink ref="A15" location="Others!b12" display="Others!b12" xr:uid="{6EF02C6B-ED0C-40F2-9DFC-94658E3342FB}"/>
    <hyperlink ref="A50" location="'LERR-ISSUER'!A1" display="              LERR to a single issuer and group of companies (LERR-3)" xr:uid="{C4E82A08-A47F-40A6-A10A-43D8D15D1322}"/>
    <hyperlink ref="A48" location="'LERR-CLIENT'!A1" display="              LERR to a single client (LERR-1)" xr:uid="{D8A13270-CDEC-4862-9310-4A93EBC4A2B3}"/>
    <hyperlink ref="A49" location="'LERR-DEBT'!A1" display="              LERR to a single debt (LERR-2)" xr:uid="{EC48D9D0-2F1A-4928-A6A5-956DC6849EEF}"/>
    <hyperlink ref="A61" location="Others!B136" display="Others!B136" xr:uid="{8FF7F846-9A0E-4472-9354-E061B64D8973}"/>
    <hyperlink ref="A16" location="Others!B61" display="        Minority Interest" xr:uid="{8AC17051-5746-4DC4-BB57-230085F4BD14}"/>
  </hyperlinks>
  <printOptions horizontalCentered="1" verticalCentered="1"/>
  <pageMargins left="0.5" right="0.5" top="0.5" bottom="0.25" header="0.5" footer="0.5"/>
  <pageSetup scale="95"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2" r:id="rId5" name="Button 6">
              <controlPr defaultSize="0" print="0" autoFill="0" autoPict="0" macro="[0]!navigate">
                <anchor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0</xdr:col>
                    <xdr:colOff>1143000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75ED8-85DB-4868-99D4-C9EB45575AC1}">
  <sheetPr codeName="Sheet4"/>
  <dimension ref="A1:H164"/>
  <sheetViews>
    <sheetView showGridLines="0" zoomScaleNormal="100" zoomScaleSheetLayoutView="100" workbookViewId="0">
      <pane ySplit="7" topLeftCell="A113" activePane="bottomLeft" state="frozen"/>
      <selection pane="bottomLeft" activeCell="G142" sqref="G142"/>
      <selection activeCell="G2" sqref="G2"/>
    </sheetView>
  </sheetViews>
  <sheetFormatPr defaultRowHeight="12.75"/>
  <cols>
    <col min="1" max="1" width="3.7109375" customWidth="1"/>
    <col min="2" max="2" width="19.7109375" customWidth="1"/>
    <col min="3" max="3" width="16.7109375" customWidth="1"/>
    <col min="4" max="4" width="22.7109375" bestFit="1" customWidth="1"/>
    <col min="5" max="5" width="14" bestFit="1" customWidth="1"/>
    <col min="6" max="6" width="16.7109375" customWidth="1"/>
    <col min="7" max="7" width="15.7109375" bestFit="1" customWidth="1"/>
    <col min="8" max="8" width="16.28515625" customWidth="1"/>
  </cols>
  <sheetData>
    <row r="1" spans="1:8">
      <c r="A1" s="661"/>
      <c r="B1" s="661"/>
      <c r="C1" s="661"/>
      <c r="D1" s="661"/>
      <c r="E1" s="661"/>
      <c r="F1" s="661"/>
      <c r="G1" s="661"/>
      <c r="H1" s="661"/>
    </row>
    <row r="2" spans="1:8">
      <c r="A2" s="661"/>
      <c r="B2" s="661"/>
      <c r="C2" s="661"/>
      <c r="D2" s="661"/>
      <c r="E2" s="661"/>
      <c r="F2" s="661"/>
      <c r="G2" s="661"/>
      <c r="H2" s="661"/>
    </row>
    <row r="3" spans="1:8">
      <c r="A3" s="661"/>
      <c r="B3" s="663" t="s">
        <v>91</v>
      </c>
      <c r="C3" s="662"/>
      <c r="D3" s="663" t="s">
        <v>92</v>
      </c>
      <c r="E3" s="662"/>
      <c r="F3" s="663" t="s">
        <v>93</v>
      </c>
      <c r="G3" s="661"/>
      <c r="H3" s="661"/>
    </row>
    <row r="4" spans="1:8">
      <c r="A4" s="661"/>
      <c r="B4" s="663" t="s">
        <v>94</v>
      </c>
      <c r="C4" s="662"/>
      <c r="D4" s="663" t="s">
        <v>95</v>
      </c>
      <c r="E4" s="662"/>
      <c r="F4" s="663" t="s">
        <v>96</v>
      </c>
      <c r="G4" s="661"/>
      <c r="H4" s="661"/>
    </row>
    <row r="5" spans="1:8">
      <c r="A5" s="661"/>
      <c r="B5" s="663" t="s">
        <v>97</v>
      </c>
      <c r="C5" s="662"/>
      <c r="D5" s="663" t="s">
        <v>98</v>
      </c>
      <c r="E5" s="662"/>
      <c r="F5" s="663" t="s">
        <v>99</v>
      </c>
      <c r="G5" s="661"/>
      <c r="H5" s="661"/>
    </row>
    <row r="6" spans="1:8">
      <c r="A6" s="661"/>
      <c r="B6" s="663" t="s">
        <v>100</v>
      </c>
      <c r="C6" s="662"/>
      <c r="D6" s="663" t="s">
        <v>101</v>
      </c>
      <c r="E6" s="662"/>
      <c r="F6" s="663" t="s">
        <v>102</v>
      </c>
      <c r="G6" s="661"/>
      <c r="H6" s="661"/>
    </row>
    <row r="7" spans="1:8">
      <c r="A7" s="661"/>
      <c r="B7" s="664" t="s">
        <v>103</v>
      </c>
      <c r="C7" s="662"/>
      <c r="D7" s="664" t="s">
        <v>104</v>
      </c>
      <c r="E7" s="662"/>
      <c r="F7" s="664" t="s">
        <v>105</v>
      </c>
      <c r="G7" s="661"/>
      <c r="H7" s="661"/>
    </row>
    <row r="9" spans="1:8">
      <c r="B9" s="209"/>
    </row>
    <row r="10" spans="1:8">
      <c r="B10" s="153" t="s">
        <v>99</v>
      </c>
    </row>
    <row r="11" spans="1:8">
      <c r="D11" s="154"/>
      <c r="H11" s="152"/>
    </row>
    <row r="12" spans="1:8">
      <c r="B12" t="s">
        <v>106</v>
      </c>
      <c r="C12" s="609" t="str">
        <f>RBC!A3</f>
        <v>mm/dd/yyyy</v>
      </c>
    </row>
    <row r="13" spans="1:8" ht="13.5" thickBot="1">
      <c r="B13" t="s">
        <v>107</v>
      </c>
      <c r="C13" s="515"/>
    </row>
    <row r="14" spans="1:8" ht="13.5" thickTop="1"/>
    <row r="16" spans="1:8">
      <c r="B16" s="153" t="s">
        <v>97</v>
      </c>
    </row>
    <row r="19" spans="1:6" ht="26.25" thickBot="1">
      <c r="A19" t="s">
        <v>108</v>
      </c>
      <c r="B19" s="234" t="s">
        <v>109</v>
      </c>
      <c r="C19" s="665" t="s">
        <v>110</v>
      </c>
      <c r="D19" s="665"/>
      <c r="E19" s="615" t="s">
        <v>111</v>
      </c>
      <c r="F19" s="166" t="s">
        <v>112</v>
      </c>
    </row>
    <row r="20" spans="1:6">
      <c r="A20">
        <v>1</v>
      </c>
      <c r="B20" s="516"/>
      <c r="C20" s="616"/>
      <c r="D20" s="666"/>
      <c r="E20" s="619"/>
      <c r="F20" s="618"/>
    </row>
    <row r="21" spans="1:6">
      <c r="A21">
        <v>2</v>
      </c>
      <c r="B21" s="517"/>
      <c r="C21" s="617"/>
      <c r="D21" s="667"/>
      <c r="E21" s="620"/>
      <c r="F21" s="292"/>
    </row>
    <row r="22" spans="1:6">
      <c r="A22" t="s">
        <v>113</v>
      </c>
      <c r="B22" s="268" t="s">
        <v>114</v>
      </c>
      <c r="C22" s="268"/>
      <c r="D22" s="268"/>
      <c r="E22" s="567"/>
      <c r="F22" s="269">
        <f>SUM(F20:F21)</f>
        <v>0</v>
      </c>
    </row>
    <row r="23" spans="1:6" ht="17.25" customHeight="1" thickBot="1">
      <c r="B23" s="235" t="s">
        <v>115</v>
      </c>
      <c r="C23" s="668"/>
      <c r="D23" s="669"/>
      <c r="E23" s="615"/>
      <c r="F23" s="166"/>
    </row>
    <row r="24" spans="1:6">
      <c r="A24">
        <v>1</v>
      </c>
      <c r="B24" s="516"/>
      <c r="C24" s="616"/>
      <c r="D24" s="666"/>
      <c r="E24" s="616"/>
      <c r="F24" s="618"/>
    </row>
    <row r="25" spans="1:6">
      <c r="A25">
        <v>2</v>
      </c>
      <c r="B25" s="517"/>
      <c r="C25" s="617"/>
      <c r="D25" s="667"/>
      <c r="E25" s="617"/>
      <c r="F25" s="292"/>
    </row>
    <row r="26" spans="1:6">
      <c r="B26" s="268" t="s">
        <v>114</v>
      </c>
      <c r="C26" s="268"/>
      <c r="D26" s="268"/>
      <c r="E26" s="567"/>
      <c r="F26" s="269">
        <f>SUM(F24:F25)</f>
        <v>0</v>
      </c>
    </row>
    <row r="27" spans="1:6" ht="13.5" thickBot="1">
      <c r="B27" s="165" t="s">
        <v>116</v>
      </c>
      <c r="F27" s="182">
        <f>F22+F26</f>
        <v>0</v>
      </c>
    </row>
    <row r="28" spans="1:6" ht="13.5" thickTop="1">
      <c r="B28" s="183" t="str">
        <f>IF('trial balance'!C134&lt;&gt;F27,"Warning:  Does not tie up with Deposit for Future Subscription per trial balance.  Pls check.","")</f>
        <v/>
      </c>
    </row>
    <row r="30" spans="1:6">
      <c r="B30" s="153" t="s">
        <v>117</v>
      </c>
    </row>
    <row r="31" spans="1:6">
      <c r="B31" s="153"/>
    </row>
    <row r="32" spans="1:6">
      <c r="B32" s="193" t="s">
        <v>118</v>
      </c>
      <c r="D32" s="518"/>
    </row>
    <row r="33" spans="2:5">
      <c r="B33" s="193" t="s">
        <v>119</v>
      </c>
      <c r="D33" s="519"/>
    </row>
    <row r="34" spans="2:5" ht="13.5" thickBot="1">
      <c r="B34" s="193"/>
      <c r="D34" s="270">
        <f>SUM(D32:D33)</f>
        <v>0</v>
      </c>
    </row>
    <row r="35" spans="2:5" ht="13.5" thickTop="1">
      <c r="B35" s="153"/>
    </row>
    <row r="36" spans="2:5">
      <c r="B36" s="153" t="s">
        <v>98</v>
      </c>
    </row>
    <row r="37" spans="2:5">
      <c r="B37" s="153"/>
    </row>
    <row r="38" spans="2:5">
      <c r="B38" s="196" t="s">
        <v>120</v>
      </c>
      <c r="C38" s="197"/>
      <c r="D38" s="611"/>
      <c r="E38" s="195" t="s">
        <v>112</v>
      </c>
    </row>
    <row r="39" spans="2:5">
      <c r="B39" s="520"/>
      <c r="C39" s="594"/>
      <c r="D39" s="612"/>
      <c r="E39" s="290"/>
    </row>
    <row r="40" spans="2:5">
      <c r="B40" s="521"/>
      <c r="C40" s="595"/>
      <c r="D40" s="613"/>
      <c r="E40" s="291"/>
    </row>
    <row r="41" spans="2:5">
      <c r="B41" s="521"/>
      <c r="C41" s="595"/>
      <c r="D41" s="614"/>
      <c r="E41" s="511"/>
    </row>
    <row r="42" spans="2:5" ht="13.5" thickBot="1">
      <c r="B42" s="571" t="s">
        <v>116</v>
      </c>
      <c r="C42" s="309"/>
      <c r="D42" s="308"/>
      <c r="E42" s="592">
        <f>SUM(E39:E41)</f>
        <v>0</v>
      </c>
    </row>
    <row r="43" spans="2:5" ht="13.5" thickTop="1"/>
    <row r="44" spans="2:5" hidden="1"/>
    <row r="46" spans="2:5">
      <c r="B46" s="153" t="s">
        <v>95</v>
      </c>
    </row>
    <row r="47" spans="2:5">
      <c r="B47" s="153"/>
    </row>
    <row r="48" spans="2:5">
      <c r="B48" s="593" t="s">
        <v>121</v>
      </c>
      <c r="C48" s="194"/>
      <c r="D48" s="73" t="s">
        <v>112</v>
      </c>
    </row>
    <row r="49" spans="2:4">
      <c r="B49" s="792"/>
      <c r="C49" s="793"/>
      <c r="D49" s="290"/>
    </row>
    <row r="50" spans="2:4">
      <c r="B50" s="794"/>
      <c r="C50" s="795"/>
      <c r="D50" s="291"/>
    </row>
    <row r="51" spans="2:4">
      <c r="B51" s="794"/>
      <c r="C51" s="795"/>
      <c r="D51" s="511"/>
    </row>
    <row r="52" spans="2:4" ht="13.5" thickBot="1">
      <c r="B52" s="571" t="s">
        <v>116</v>
      </c>
      <c r="C52" s="309"/>
      <c r="D52" s="592">
        <f>SUM(D49:D51)</f>
        <v>0</v>
      </c>
    </row>
    <row r="53" spans="2:4" ht="13.5" thickTop="1"/>
    <row r="55" spans="2:4">
      <c r="B55" s="153" t="s">
        <v>105</v>
      </c>
    </row>
    <row r="56" spans="2:4">
      <c r="B56" s="153"/>
    </row>
    <row r="57" spans="2:4">
      <c r="B57" s="204" t="s">
        <v>122</v>
      </c>
      <c r="C57" s="576"/>
      <c r="D57" s="195" t="s">
        <v>112</v>
      </c>
    </row>
    <row r="58" spans="2:4">
      <c r="B58" s="525"/>
      <c r="C58" s="527"/>
      <c r="D58" s="275"/>
    </row>
    <row r="59" spans="2:4">
      <c r="B59" s="193"/>
      <c r="D59" s="203"/>
    </row>
    <row r="60" spans="2:4">
      <c r="B60" s="193"/>
      <c r="D60" s="203"/>
    </row>
    <row r="61" spans="2:4">
      <c r="B61" s="153" t="s">
        <v>93</v>
      </c>
    </row>
    <row r="62" spans="2:4">
      <c r="B62" s="153"/>
    </row>
    <row r="63" spans="2:4">
      <c r="B63" s="204" t="s">
        <v>122</v>
      </c>
      <c r="C63" s="194"/>
      <c r="D63" s="195" t="s">
        <v>112</v>
      </c>
    </row>
    <row r="64" spans="2:4">
      <c r="B64" s="525"/>
      <c r="C64" s="524"/>
      <c r="D64" s="526"/>
    </row>
    <row r="65" spans="2:7">
      <c r="B65" s="205"/>
      <c r="C65" s="146"/>
      <c r="D65" s="206"/>
    </row>
    <row r="66" spans="2:7">
      <c r="B66" s="205"/>
      <c r="C66" s="146"/>
      <c r="D66" s="206"/>
    </row>
    <row r="67" spans="2:7">
      <c r="B67" s="153" t="s">
        <v>96</v>
      </c>
    </row>
    <row r="68" spans="2:7">
      <c r="B68" s="153"/>
    </row>
    <row r="69" spans="2:7" ht="13.5" thickBot="1">
      <c r="B69" s="596"/>
    </row>
    <row r="70" spans="2:7" ht="13.5" thickTop="1"/>
    <row r="71" spans="2:7">
      <c r="B71" s="153" t="s">
        <v>94</v>
      </c>
    </row>
    <row r="72" spans="2:7">
      <c r="B72" s="153"/>
    </row>
    <row r="73" spans="2:7">
      <c r="B73" s="597" t="s">
        <v>121</v>
      </c>
      <c r="C73" s="573"/>
      <c r="D73" s="200"/>
      <c r="E73" s="195" t="s">
        <v>112</v>
      </c>
      <c r="F73" s="199" t="s">
        <v>123</v>
      </c>
      <c r="G73" s="197"/>
    </row>
    <row r="74" spans="2:7">
      <c r="B74" s="525"/>
      <c r="C74" s="527"/>
      <c r="D74" s="528"/>
      <c r="E74" s="275"/>
      <c r="F74" s="537"/>
      <c r="G74" s="538"/>
    </row>
    <row r="75" spans="2:7">
      <c r="B75" s="525"/>
      <c r="C75" s="527"/>
      <c r="D75" s="528"/>
      <c r="E75" s="275"/>
      <c r="F75" s="537"/>
      <c r="G75" s="538"/>
    </row>
    <row r="76" spans="2:7">
      <c r="B76" s="525"/>
      <c r="C76" s="527"/>
      <c r="D76" s="528"/>
      <c r="E76" s="275"/>
      <c r="F76" s="537"/>
      <c r="G76" s="538"/>
    </row>
    <row r="77" spans="2:7" ht="13.5" thickBot="1">
      <c r="B77" s="571" t="s">
        <v>116</v>
      </c>
      <c r="C77" s="198"/>
      <c r="D77" s="309"/>
      <c r="E77" s="592">
        <f>SUM(E74:E76)</f>
        <v>0</v>
      </c>
      <c r="F77" s="201"/>
      <c r="G77" s="202"/>
    </row>
    <row r="78" spans="2:7" ht="13.5" thickTop="1"/>
    <row r="79" spans="2:7">
      <c r="B79" s="153" t="s">
        <v>124</v>
      </c>
    </row>
    <row r="80" spans="2:7">
      <c r="B80" s="153"/>
    </row>
    <row r="81" spans="1:8">
      <c r="B81" s="196" t="s">
        <v>121</v>
      </c>
      <c r="C81" s="199"/>
      <c r="D81" s="200"/>
      <c r="E81" s="575" t="s">
        <v>112</v>
      </c>
      <c r="F81" s="199" t="s">
        <v>123</v>
      </c>
      <c r="G81" s="197"/>
    </row>
    <row r="82" spans="1:8">
      <c r="B82" s="520"/>
      <c r="C82" s="529"/>
      <c r="D82" s="594"/>
      <c r="E82" s="531"/>
      <c r="F82" s="530"/>
      <c r="G82" s="531"/>
    </row>
    <row r="83" spans="1:8">
      <c r="B83" s="521"/>
      <c r="C83" s="532"/>
      <c r="D83" s="595"/>
      <c r="E83" s="534"/>
      <c r="F83" s="533"/>
      <c r="G83" s="534"/>
    </row>
    <row r="84" spans="1:8">
      <c r="B84" s="521"/>
      <c r="C84" s="532"/>
      <c r="D84" s="598"/>
      <c r="E84" s="536"/>
      <c r="F84" s="535"/>
      <c r="G84" s="536"/>
    </row>
    <row r="85" spans="1:8" ht="13.5" thickBot="1">
      <c r="B85" s="571" t="s">
        <v>116</v>
      </c>
      <c r="C85" s="198"/>
      <c r="D85" s="309"/>
      <c r="E85" s="202">
        <f>SUM(E82:E84)</f>
        <v>0</v>
      </c>
      <c r="F85" s="201"/>
      <c r="G85" s="202"/>
    </row>
    <row r="86" spans="1:8" ht="13.5" thickTop="1"/>
    <row r="88" spans="1:8">
      <c r="B88" s="153" t="s">
        <v>92</v>
      </c>
    </row>
    <row r="89" spans="1:8">
      <c r="B89" s="153"/>
    </row>
    <row r="90" spans="1:8" s="151" customFormat="1" ht="25.5">
      <c r="B90" s="471" t="s">
        <v>121</v>
      </c>
      <c r="C90" s="471" t="s">
        <v>125</v>
      </c>
      <c r="D90" s="471" t="s">
        <v>126</v>
      </c>
      <c r="E90" s="471" t="s">
        <v>127</v>
      </c>
      <c r="F90" s="471" t="str">
        <f>"Loan Amount as of "</f>
        <v xml:space="preserve">Loan Amount as of </v>
      </c>
      <c r="G90" s="471" t="s">
        <v>128</v>
      </c>
      <c r="H90" s="471" t="s">
        <v>129</v>
      </c>
    </row>
    <row r="91" spans="1:8" s="151" customFormat="1">
      <c r="B91" s="473"/>
      <c r="C91" s="473"/>
      <c r="D91" s="473"/>
      <c r="E91" s="473"/>
      <c r="F91" s="554" t="str">
        <f>RBC!$A$3</f>
        <v>mm/dd/yyyy</v>
      </c>
      <c r="G91" s="473"/>
      <c r="H91" s="473"/>
    </row>
    <row r="92" spans="1:8">
      <c r="A92">
        <v>1</v>
      </c>
      <c r="B92" s="600"/>
      <c r="C92" s="601"/>
      <c r="D92" s="601"/>
      <c r="E92" s="602">
        <f>C92-D92</f>
        <v>0</v>
      </c>
      <c r="F92" s="601"/>
      <c r="G92" s="602">
        <f>IF(NetBookValue&gt;Loan,Loan,NetBookValue)</f>
        <v>0</v>
      </c>
      <c r="H92" s="603"/>
    </row>
    <row r="93" spans="1:8">
      <c r="A93">
        <v>2</v>
      </c>
      <c r="B93" s="280"/>
      <c r="C93" s="291"/>
      <c r="D93" s="291"/>
      <c r="E93" s="604">
        <f t="shared" ref="E93:E101" si="0">C93-D93</f>
        <v>0</v>
      </c>
      <c r="F93" s="291"/>
      <c r="G93" s="604">
        <f t="shared" ref="G93:G101" si="1">IF(NetBookValue&gt;Loan,Loan,NetBookValue)</f>
        <v>0</v>
      </c>
      <c r="H93" s="281"/>
    </row>
    <row r="94" spans="1:8">
      <c r="A94">
        <v>3</v>
      </c>
      <c r="B94" s="280"/>
      <c r="C94" s="291"/>
      <c r="D94" s="291"/>
      <c r="E94" s="604">
        <f t="shared" si="0"/>
        <v>0</v>
      </c>
      <c r="F94" s="291"/>
      <c r="G94" s="604">
        <f t="shared" si="1"/>
        <v>0</v>
      </c>
      <c r="H94" s="281"/>
    </row>
    <row r="95" spans="1:8">
      <c r="A95">
        <v>4</v>
      </c>
      <c r="B95" s="280"/>
      <c r="C95" s="291"/>
      <c r="D95" s="291"/>
      <c r="E95" s="604">
        <f t="shared" si="0"/>
        <v>0</v>
      </c>
      <c r="F95" s="291"/>
      <c r="G95" s="604">
        <f t="shared" si="1"/>
        <v>0</v>
      </c>
      <c r="H95" s="281"/>
    </row>
    <row r="96" spans="1:8">
      <c r="A96">
        <v>5</v>
      </c>
      <c r="B96" s="280"/>
      <c r="C96" s="291"/>
      <c r="D96" s="291"/>
      <c r="E96" s="604">
        <f t="shared" si="0"/>
        <v>0</v>
      </c>
      <c r="F96" s="291"/>
      <c r="G96" s="604">
        <f t="shared" si="1"/>
        <v>0</v>
      </c>
      <c r="H96" s="281"/>
    </row>
    <row r="97" spans="1:8">
      <c r="A97">
        <v>6</v>
      </c>
      <c r="B97" s="280"/>
      <c r="C97" s="291"/>
      <c r="D97" s="291"/>
      <c r="E97" s="604">
        <f t="shared" si="0"/>
        <v>0</v>
      </c>
      <c r="F97" s="291"/>
      <c r="G97" s="604">
        <f t="shared" si="1"/>
        <v>0</v>
      </c>
      <c r="H97" s="281"/>
    </row>
    <row r="98" spans="1:8">
      <c r="A98">
        <v>7</v>
      </c>
      <c r="B98" s="280"/>
      <c r="C98" s="291"/>
      <c r="D98" s="291"/>
      <c r="E98" s="604">
        <f t="shared" si="0"/>
        <v>0</v>
      </c>
      <c r="F98" s="291"/>
      <c r="G98" s="604">
        <f t="shared" si="1"/>
        <v>0</v>
      </c>
      <c r="H98" s="281"/>
    </row>
    <row r="99" spans="1:8">
      <c r="A99">
        <v>8</v>
      </c>
      <c r="B99" s="280"/>
      <c r="C99" s="291"/>
      <c r="D99" s="291"/>
      <c r="E99" s="604">
        <f t="shared" si="0"/>
        <v>0</v>
      </c>
      <c r="F99" s="291"/>
      <c r="G99" s="604">
        <f t="shared" si="1"/>
        <v>0</v>
      </c>
      <c r="H99" s="281"/>
    </row>
    <row r="100" spans="1:8">
      <c r="A100">
        <v>9</v>
      </c>
      <c r="B100" s="280"/>
      <c r="C100" s="291"/>
      <c r="D100" s="291"/>
      <c r="E100" s="604">
        <f t="shared" si="0"/>
        <v>0</v>
      </c>
      <c r="F100" s="291"/>
      <c r="G100" s="604">
        <f t="shared" si="1"/>
        <v>0</v>
      </c>
      <c r="H100" s="281"/>
    </row>
    <row r="101" spans="1:8">
      <c r="A101">
        <v>10</v>
      </c>
      <c r="B101" s="294"/>
      <c r="C101" s="511"/>
      <c r="D101" s="511"/>
      <c r="E101" s="605">
        <f t="shared" si="0"/>
        <v>0</v>
      </c>
      <c r="F101" s="511"/>
      <c r="G101" s="605">
        <f t="shared" si="1"/>
        <v>0</v>
      </c>
      <c r="H101" s="512"/>
    </row>
    <row r="102" spans="1:8">
      <c r="B102" s="72" t="s">
        <v>116</v>
      </c>
      <c r="C102" s="150">
        <f>SUM(C92:C101)</f>
        <v>0</v>
      </c>
      <c r="D102" s="150">
        <f>SUM(D92:D101)</f>
        <v>0</v>
      </c>
      <c r="E102" s="150">
        <f>SUM(NetBookValue)</f>
        <v>0</v>
      </c>
      <c r="F102" s="150">
        <f>SUM(Loan)</f>
        <v>0</v>
      </c>
      <c r="G102" s="150">
        <f>SUM(G92:G101)</f>
        <v>0</v>
      </c>
      <c r="H102" s="72"/>
    </row>
    <row r="103" spans="1:8">
      <c r="C103" s="181"/>
      <c r="D103" s="181"/>
      <c r="E103" s="181"/>
      <c r="F103" s="181"/>
      <c r="G103" s="181"/>
    </row>
    <row r="104" spans="1:8">
      <c r="C104" s="181"/>
      <c r="D104" s="181"/>
      <c r="E104" s="181"/>
      <c r="F104" s="181"/>
      <c r="G104" s="181"/>
    </row>
    <row r="105" spans="1:8">
      <c r="B105" s="153" t="s">
        <v>91</v>
      </c>
      <c r="C105" s="181"/>
      <c r="D105" s="181"/>
      <c r="E105" s="181"/>
      <c r="F105" s="181"/>
      <c r="G105" s="181"/>
    </row>
    <row r="106" spans="1:8">
      <c r="B106" s="183" t="str">
        <f>IF(G120&lt;&gt;'trial balance'!C107,"Warning:  TOTAL below does not tie up with trial balance figure.  Pls check.","")</f>
        <v/>
      </c>
      <c r="C106" s="181"/>
      <c r="D106" s="181"/>
      <c r="E106" s="181"/>
      <c r="F106" s="181"/>
      <c r="G106" s="181"/>
    </row>
    <row r="107" spans="1:8" s="185" customFormat="1" ht="12.75" customHeight="1">
      <c r="B107" s="471" t="s">
        <v>130</v>
      </c>
      <c r="C107" s="471" t="s">
        <v>131</v>
      </c>
      <c r="D107" s="471" t="s">
        <v>132</v>
      </c>
      <c r="E107" s="471" t="s">
        <v>133</v>
      </c>
      <c r="F107" s="859" t="s">
        <v>134</v>
      </c>
      <c r="G107" s="472" t="str">
        <f>"Balance as of "</f>
        <v xml:space="preserve">Balance as of </v>
      </c>
      <c r="H107" s="471" t="s">
        <v>135</v>
      </c>
    </row>
    <row r="108" spans="1:8" s="185" customFormat="1">
      <c r="B108" s="473"/>
      <c r="C108" s="473"/>
      <c r="D108" s="473"/>
      <c r="E108" s="473"/>
      <c r="F108" s="860"/>
      <c r="G108" s="610" t="str">
        <f>RBC!$A$3</f>
        <v>mm/dd/yyyy</v>
      </c>
      <c r="H108" s="473"/>
    </row>
    <row r="109" spans="1:8">
      <c r="A109">
        <v>1</v>
      </c>
      <c r="B109" s="278"/>
      <c r="C109" s="508"/>
      <c r="D109" s="508"/>
      <c r="E109" s="508"/>
      <c r="F109" s="290"/>
      <c r="G109" s="290"/>
      <c r="H109" s="279"/>
    </row>
    <row r="110" spans="1:8">
      <c r="A110">
        <v>2</v>
      </c>
      <c r="B110" s="280"/>
      <c r="C110" s="509"/>
      <c r="D110" s="509"/>
      <c r="E110" s="509"/>
      <c r="F110" s="291"/>
      <c r="G110" s="291"/>
      <c r="H110" s="281"/>
    </row>
    <row r="111" spans="1:8">
      <c r="A111">
        <v>3</v>
      </c>
      <c r="B111" s="280"/>
      <c r="C111" s="509"/>
      <c r="D111" s="509"/>
      <c r="E111" s="509"/>
      <c r="F111" s="291"/>
      <c r="G111" s="291"/>
      <c r="H111" s="281"/>
    </row>
    <row r="112" spans="1:8">
      <c r="A112">
        <v>4</v>
      </c>
      <c r="B112" s="280"/>
      <c r="C112" s="509"/>
      <c r="D112" s="509"/>
      <c r="E112" s="509"/>
      <c r="F112" s="291"/>
      <c r="G112" s="291"/>
      <c r="H112" s="281"/>
    </row>
    <row r="113" spans="1:8">
      <c r="A113">
        <v>5</v>
      </c>
      <c r="B113" s="280"/>
      <c r="C113" s="509"/>
      <c r="D113" s="509"/>
      <c r="E113" s="509"/>
      <c r="F113" s="291"/>
      <c r="G113" s="291"/>
      <c r="H113" s="281"/>
    </row>
    <row r="114" spans="1:8">
      <c r="A114">
        <v>6</v>
      </c>
      <c r="B114" s="280"/>
      <c r="C114" s="509"/>
      <c r="D114" s="509"/>
      <c r="E114" s="509"/>
      <c r="F114" s="291"/>
      <c r="G114" s="291"/>
      <c r="H114" s="281"/>
    </row>
    <row r="115" spans="1:8">
      <c r="A115">
        <v>7</v>
      </c>
      <c r="B115" s="280"/>
      <c r="C115" s="509"/>
      <c r="D115" s="509"/>
      <c r="E115" s="509"/>
      <c r="F115" s="291"/>
      <c r="G115" s="291"/>
      <c r="H115" s="281"/>
    </row>
    <row r="116" spans="1:8">
      <c r="A116">
        <v>8</v>
      </c>
      <c r="B116" s="280"/>
      <c r="C116" s="509"/>
      <c r="D116" s="509"/>
      <c r="E116" s="509"/>
      <c r="F116" s="291"/>
      <c r="G116" s="291"/>
      <c r="H116" s="281"/>
    </row>
    <row r="117" spans="1:8">
      <c r="A117">
        <v>9</v>
      </c>
      <c r="B117" s="280"/>
      <c r="C117" s="509"/>
      <c r="D117" s="509"/>
      <c r="E117" s="509"/>
      <c r="F117" s="291"/>
      <c r="G117" s="291"/>
      <c r="H117" s="281"/>
    </row>
    <row r="118" spans="1:8">
      <c r="A118">
        <v>10</v>
      </c>
      <c r="B118" s="294"/>
      <c r="C118" s="510"/>
      <c r="D118" s="510"/>
      <c r="E118" s="510"/>
      <c r="F118" s="511"/>
      <c r="G118" s="511"/>
      <c r="H118" s="512"/>
    </row>
    <row r="119" spans="1:8">
      <c r="A119">
        <v>11</v>
      </c>
      <c r="B119" s="547" t="s">
        <v>136</v>
      </c>
      <c r="C119" s="513"/>
      <c r="D119" s="514" t="s">
        <v>137</v>
      </c>
      <c r="E119" s="514" t="s">
        <v>137</v>
      </c>
      <c r="F119" s="474">
        <f>F136</f>
        <v>0</v>
      </c>
      <c r="G119" s="474">
        <f>G136</f>
        <v>0</v>
      </c>
      <c r="H119" s="512"/>
    </row>
    <row r="120" spans="1:8">
      <c r="B120" s="72" t="s">
        <v>116</v>
      </c>
      <c r="C120" s="150"/>
      <c r="D120" s="150"/>
      <c r="E120" s="150"/>
      <c r="F120" s="150">
        <f>SUM(F109:F119)</f>
        <v>0</v>
      </c>
      <c r="G120" s="150">
        <f>SUM(G109:G119)</f>
        <v>0</v>
      </c>
      <c r="H120" s="150"/>
    </row>
    <row r="121" spans="1:8">
      <c r="C121" s="181"/>
      <c r="D121" s="181"/>
      <c r="E121" s="181"/>
      <c r="F121" s="181"/>
      <c r="G121" s="181"/>
    </row>
    <row r="122" spans="1:8">
      <c r="B122" s="153" t="s">
        <v>138</v>
      </c>
      <c r="C122" s="181"/>
      <c r="D122" s="181"/>
      <c r="E122" s="181"/>
      <c r="F122" s="181"/>
      <c r="G122" s="181"/>
    </row>
    <row r="124" spans="1:8" ht="12.75" customHeight="1">
      <c r="A124" s="185"/>
      <c r="B124" s="471" t="s">
        <v>130</v>
      </c>
      <c r="C124" s="471" t="s">
        <v>131</v>
      </c>
      <c r="D124" s="471" t="s">
        <v>132</v>
      </c>
      <c r="E124" s="471" t="s">
        <v>133</v>
      </c>
      <c r="F124" s="859" t="s">
        <v>134</v>
      </c>
      <c r="G124" s="472" t="str">
        <f>"Balance as of "</f>
        <v xml:space="preserve">Balance as of </v>
      </c>
      <c r="H124" s="859" t="s">
        <v>139</v>
      </c>
    </row>
    <row r="125" spans="1:8" ht="19.5" customHeight="1">
      <c r="A125" s="185"/>
      <c r="B125" s="473"/>
      <c r="C125" s="473"/>
      <c r="D125" s="473"/>
      <c r="E125" s="473"/>
      <c r="F125" s="860"/>
      <c r="G125" s="610" t="str">
        <f>RBC!$A$3</f>
        <v>mm/dd/yyyy</v>
      </c>
      <c r="H125" s="860"/>
    </row>
    <row r="126" spans="1:8">
      <c r="A126">
        <v>1</v>
      </c>
      <c r="B126" s="278"/>
      <c r="C126" s="290"/>
      <c r="D126" s="508"/>
      <c r="E126" s="508"/>
      <c r="F126" s="290"/>
      <c r="G126" s="290"/>
      <c r="H126" s="279"/>
    </row>
    <row r="127" spans="1:8">
      <c r="A127">
        <v>2</v>
      </c>
      <c r="B127" s="280"/>
      <c r="C127" s="291"/>
      <c r="D127" s="509"/>
      <c r="E127" s="509"/>
      <c r="F127" s="291"/>
      <c r="G127" s="291"/>
      <c r="H127" s="281"/>
    </row>
    <row r="128" spans="1:8">
      <c r="A128">
        <v>3</v>
      </c>
      <c r="B128" s="280"/>
      <c r="C128" s="291"/>
      <c r="D128" s="509"/>
      <c r="E128" s="509"/>
      <c r="F128" s="291"/>
      <c r="G128" s="291"/>
      <c r="H128" s="281"/>
    </row>
    <row r="129" spans="1:8">
      <c r="A129">
        <v>4</v>
      </c>
      <c r="B129" s="280"/>
      <c r="C129" s="291"/>
      <c r="D129" s="509"/>
      <c r="E129" s="509"/>
      <c r="F129" s="291"/>
      <c r="G129" s="291"/>
      <c r="H129" s="281"/>
    </row>
    <row r="130" spans="1:8">
      <c r="A130">
        <v>5</v>
      </c>
      <c r="B130" s="280"/>
      <c r="C130" s="291"/>
      <c r="D130" s="509"/>
      <c r="E130" s="509"/>
      <c r="F130" s="291"/>
      <c r="G130" s="291"/>
      <c r="H130" s="281"/>
    </row>
    <row r="131" spans="1:8">
      <c r="A131">
        <v>6</v>
      </c>
      <c r="B131" s="280"/>
      <c r="C131" s="291"/>
      <c r="D131" s="509"/>
      <c r="E131" s="509"/>
      <c r="F131" s="291"/>
      <c r="G131" s="291"/>
      <c r="H131" s="281"/>
    </row>
    <row r="132" spans="1:8">
      <c r="A132">
        <v>7</v>
      </c>
      <c r="B132" s="280"/>
      <c r="C132" s="291"/>
      <c r="D132" s="509"/>
      <c r="E132" s="509"/>
      <c r="F132" s="291"/>
      <c r="G132" s="291"/>
      <c r="H132" s="281"/>
    </row>
    <row r="133" spans="1:8">
      <c r="A133">
        <v>8</v>
      </c>
      <c r="B133" s="280"/>
      <c r="C133" s="291"/>
      <c r="D133" s="509"/>
      <c r="E133" s="509"/>
      <c r="F133" s="291"/>
      <c r="G133" s="291"/>
      <c r="H133" s="281"/>
    </row>
    <row r="134" spans="1:8">
      <c r="A134">
        <v>9</v>
      </c>
      <c r="B134" s="280"/>
      <c r="C134" s="291"/>
      <c r="D134" s="509"/>
      <c r="E134" s="509"/>
      <c r="F134" s="291"/>
      <c r="G134" s="291"/>
      <c r="H134" s="281"/>
    </row>
    <row r="135" spans="1:8">
      <c r="A135">
        <v>10</v>
      </c>
      <c r="B135" s="294"/>
      <c r="C135" s="511"/>
      <c r="D135" s="510"/>
      <c r="E135" s="510"/>
      <c r="F135" s="511"/>
      <c r="G135" s="511"/>
      <c r="H135" s="512"/>
    </row>
    <row r="136" spans="1:8">
      <c r="B136" s="72" t="s">
        <v>116</v>
      </c>
      <c r="C136" s="150"/>
      <c r="D136" s="150"/>
      <c r="E136" s="150"/>
      <c r="F136" s="150">
        <f>SUM(F126:F135)</f>
        <v>0</v>
      </c>
      <c r="G136" s="150">
        <f>SUM(G126:G135)</f>
        <v>0</v>
      </c>
      <c r="H136" s="150">
        <f>SUM(H126:H135)</f>
        <v>0</v>
      </c>
    </row>
    <row r="139" spans="1:8">
      <c r="B139" s="153" t="s">
        <v>140</v>
      </c>
    </row>
    <row r="141" spans="1:8">
      <c r="B141" s="196" t="s">
        <v>121</v>
      </c>
      <c r="C141" s="199"/>
      <c r="D141" s="648"/>
      <c r="E141" s="573"/>
      <c r="F141" s="575"/>
      <c r="G141" s="195" t="s">
        <v>112</v>
      </c>
    </row>
    <row r="142" spans="1:8">
      <c r="A142">
        <v>1</v>
      </c>
      <c r="B142" s="763" t="s">
        <v>141</v>
      </c>
      <c r="C142" s="649"/>
      <c r="D142" s="649"/>
      <c r="E142" s="650"/>
      <c r="F142" s="651"/>
      <c r="G142" s="568">
        <f>'trial balance'!C119</f>
        <v>0</v>
      </c>
    </row>
    <row r="143" spans="1:8" ht="13.5" customHeight="1">
      <c r="A143">
        <v>2</v>
      </c>
      <c r="B143" s="796" t="s">
        <v>142</v>
      </c>
      <c r="C143" s="652"/>
      <c r="D143" s="652"/>
      <c r="E143" s="653"/>
      <c r="F143" s="651"/>
      <c r="G143" s="522"/>
    </row>
    <row r="144" spans="1:8">
      <c r="A144">
        <v>3</v>
      </c>
      <c r="B144" s="762" t="s">
        <v>143</v>
      </c>
      <c r="C144" s="654"/>
      <c r="D144" s="655"/>
      <c r="E144" s="656"/>
      <c r="F144" s="657"/>
      <c r="G144" s="523"/>
    </row>
    <row r="145" spans="1:7">
      <c r="A145">
        <v>4</v>
      </c>
      <c r="B145" s="762" t="s">
        <v>144</v>
      </c>
      <c r="C145" s="654"/>
      <c r="D145" s="654"/>
      <c r="E145" s="653"/>
      <c r="F145" s="651"/>
      <c r="G145" s="522"/>
    </row>
    <row r="146" spans="1:7">
      <c r="A146">
        <v>5</v>
      </c>
      <c r="B146" s="762" t="s">
        <v>145</v>
      </c>
      <c r="C146" s="654"/>
      <c r="D146" s="654"/>
      <c r="E146" s="653"/>
      <c r="F146" s="651"/>
      <c r="G146" s="522"/>
    </row>
    <row r="147" spans="1:7" ht="14.25" customHeight="1">
      <c r="A147">
        <v>6</v>
      </c>
      <c r="B147" s="797" t="s">
        <v>146</v>
      </c>
      <c r="C147" s="572"/>
      <c r="D147" s="572"/>
      <c r="E147" s="574"/>
      <c r="F147" s="570"/>
      <c r="G147" s="569"/>
    </row>
    <row r="148" spans="1:7" ht="13.5" thickBot="1">
      <c r="B148" s="571" t="s">
        <v>116</v>
      </c>
      <c r="C148" s="198"/>
      <c r="D148" s="198"/>
      <c r="E148" s="658"/>
      <c r="F148" s="659"/>
      <c r="G148" s="660">
        <f>SUM(G142:G147)</f>
        <v>0</v>
      </c>
    </row>
    <row r="149" spans="1:7" ht="13.5" thickTop="1"/>
    <row r="151" spans="1:7">
      <c r="B151" s="153" t="s">
        <v>102</v>
      </c>
    </row>
    <row r="152" spans="1:7">
      <c r="B152" s="153"/>
    </row>
    <row r="153" spans="1:7">
      <c r="A153">
        <v>1</v>
      </c>
      <c r="B153" s="798" t="s">
        <v>147</v>
      </c>
      <c r="C153" s="576"/>
      <c r="D153" s="275">
        <v>0</v>
      </c>
    </row>
    <row r="154" spans="1:7">
      <c r="A154">
        <v>2</v>
      </c>
      <c r="B154" s="798" t="s">
        <v>148</v>
      </c>
      <c r="C154" s="576"/>
      <c r="D154" s="275">
        <v>0</v>
      </c>
    </row>
    <row r="155" spans="1:7">
      <c r="A155">
        <v>3</v>
      </c>
      <c r="B155" s="798" t="s">
        <v>149</v>
      </c>
      <c r="C155" s="576"/>
      <c r="D155" s="559">
        <f>+'Financial Statements'!J163-Others!D153-Others!D154</f>
        <v>0</v>
      </c>
    </row>
    <row r="156" spans="1:7" ht="13.5" thickBot="1">
      <c r="B156" s="799" t="s">
        <v>116</v>
      </c>
      <c r="C156" s="198"/>
      <c r="D156" s="599">
        <f>SUM(D153:D155)</f>
        <v>0</v>
      </c>
    </row>
    <row r="157" spans="1:7" ht="13.5" thickTop="1"/>
    <row r="159" spans="1:7" hidden="1">
      <c r="B159" s="153" t="s">
        <v>100</v>
      </c>
    </row>
    <row r="160" spans="1:7" hidden="1"/>
    <row r="161" spans="1:4" hidden="1">
      <c r="A161">
        <v>1</v>
      </c>
      <c r="B161" s="798" t="s">
        <v>150</v>
      </c>
      <c r="C161" s="576"/>
      <c r="D161" s="275">
        <v>2500</v>
      </c>
    </row>
    <row r="162" spans="1:4" hidden="1">
      <c r="A162">
        <v>2</v>
      </c>
      <c r="B162" s="798" t="s">
        <v>151</v>
      </c>
      <c r="C162" s="576"/>
      <c r="D162" s="275">
        <v>2500</v>
      </c>
    </row>
    <row r="163" spans="1:4" ht="13.5" hidden="1" thickBot="1">
      <c r="B163" s="799" t="s">
        <v>116</v>
      </c>
      <c r="C163" s="198"/>
      <c r="D163" s="599">
        <f>SUM(D161:D162)</f>
        <v>5000</v>
      </c>
    </row>
    <row r="164" spans="1:4" ht="13.5" hidden="1" thickTop="1"/>
  </sheetData>
  <customSheetViews>
    <customSheetView guid="{504CC784-4394-4648-B9CE-DFC32001696E}" showPageBreaks="1" showGridLines="0" view="pageBreakPreview" showRuler="0">
      <pane ySplit="2" topLeftCell="A3" activePane="bottomLeft" state="frozen"/>
      <selection pane="bottomLeft" activeCell="F24" sqref="F24"/>
      <rowBreaks count="4" manualBreakCount="4">
        <brk id="35" max="7" man="1"/>
        <brk id="45" max="16383" man="1"/>
        <brk id="75" max="16383" man="1"/>
        <brk id="101" max="7" man="1"/>
      </rowBreaks>
      <pageMargins left="0" right="0" top="0" bottom="0" header="0" footer="0"/>
      <pageSetup orientation="landscape" r:id="rId1"/>
      <headerFooter alignWithMargins="0"/>
    </customSheetView>
  </customSheetViews>
  <mergeCells count="3">
    <mergeCell ref="H124:H125"/>
    <mergeCell ref="F124:F125"/>
    <mergeCell ref="F107:F108"/>
  </mergeCells>
  <phoneticPr fontId="22" type="noConversion"/>
  <hyperlinks>
    <hyperlink ref="B7" location="Others!b139" display="Others!b139" xr:uid="{546E11D0-8622-4A9C-87E4-5011CE767716}"/>
    <hyperlink ref="B6" location="Others!b159" display="Others!b159" xr:uid="{17A9BC32-EE4C-465A-8BA6-9024F9F77900}"/>
    <hyperlink ref="D5" location="Others!B36" display="Others!B36" xr:uid="{5A24FA68-0AD5-4082-8ED6-D8CC6BFBA02F}"/>
    <hyperlink ref="D4" location="Others!B46" display="Others!B46" xr:uid="{4AB1E8C2-4F02-45BD-8325-BCDF5985626D}"/>
    <hyperlink ref="B5" location="Others!B16" display="Others!B16" xr:uid="{ABAD2291-28BE-4A5A-A238-06E6276767DA}"/>
    <hyperlink ref="B4" location="Others!B71" display="Others!B71" xr:uid="{3D82ADAA-EC7F-4780-A53A-6BC6B21D08DF}"/>
    <hyperlink ref="D3" location="Others!B88" display="Others!B88" xr:uid="{64F85B2F-DFBA-4754-846F-BB4F86AE9FE8}"/>
    <hyperlink ref="B3" location="Others!B105" display="Others!B105" xr:uid="{6811AD30-6309-44F6-86F9-290A182F8E73}"/>
    <hyperlink ref="D6" location="Others!B79" display="Others!B79" xr:uid="{824763AF-B181-4327-B1D6-D8EDA8905875}"/>
    <hyperlink ref="D7" location="Others!b30" display="Others!b30" xr:uid="{66DBDAFC-95F9-48DB-875B-1C6715598EB8}"/>
    <hyperlink ref="F3" location="Others!B61" display="Others!B61" xr:uid="{27A75198-8100-4D08-9B56-433D6E186E58}"/>
    <hyperlink ref="F4" location="Others!B69" display="Others!B69" xr:uid="{8D0A08AC-D00E-4704-AA11-AC8E4D96D03C}"/>
    <hyperlink ref="F5" location="Others!b10" display="Others!b10" xr:uid="{9EBA7FAA-EB6A-4A2D-870B-A212F579155C}"/>
    <hyperlink ref="F7" location="Others!B55" display="Others!B55" xr:uid="{1235D89A-F8F2-4A8D-90B8-0073970A9A5B}"/>
    <hyperlink ref="F6" location="Others!b151" display="Others!b151" xr:uid="{4D18953B-CCE7-4370-AB31-F818C24896F1}"/>
  </hyperlinks>
  <pageMargins left="0.75" right="0.75" top="0.75" bottom="0.5" header="0.5" footer="0.5"/>
  <pageSetup scale="98" orientation="landscape" r:id="rId2"/>
  <headerFooter alignWithMargins="0">
    <oddFooter>&amp;CPage &amp;P of &amp;N&amp;R&amp;A</oddFooter>
  </headerFooter>
  <rowBreaks count="1" manualBreakCount="1">
    <brk id="120" max="7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Button 1">
              <controlPr defaultSize="0" print="0" autoFill="0" autoPict="0" macro="[0]!rbc">
                <anchor moveWithCells="1"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895350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6" name="Button 2">
              <controlPr defaultSize="0" print="0" autoFill="0" autoPict="0" macro="[0]!navigate">
                <anchor>
                  <from>
                    <xdr:col>1</xdr:col>
                    <xdr:colOff>895350</xdr:colOff>
                    <xdr:row>0</xdr:row>
                    <xdr:rowOff>0</xdr:rowOff>
                  </from>
                  <to>
                    <xdr:col>2</xdr:col>
                    <xdr:colOff>666750</xdr:colOff>
                    <xdr:row>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4A508-35FB-4473-8016-E8684B588B1E}">
  <sheetPr>
    <pageSetUpPr fitToPage="1"/>
  </sheetPr>
  <dimension ref="A1:I42"/>
  <sheetViews>
    <sheetView showGridLines="0" zoomScaleNormal="100" workbookViewId="0">
      <pane ySplit="6" topLeftCell="A27" activePane="bottomLeft" state="frozen"/>
      <selection pane="bottomLeft" activeCell="A34" sqref="A34"/>
      <selection activeCell="A7" sqref="A7"/>
    </sheetView>
  </sheetViews>
  <sheetFormatPr defaultRowHeight="12.75"/>
  <cols>
    <col min="1" max="1" width="28.7109375" customWidth="1"/>
    <col min="2" max="2" width="66.5703125" customWidth="1"/>
    <col min="3" max="3" width="3.5703125" customWidth="1"/>
    <col min="4" max="4" width="23" customWidth="1"/>
  </cols>
  <sheetData>
    <row r="1" spans="1:9">
      <c r="A1" s="124"/>
      <c r="B1" s="264" t="str">
        <f>+'trial balance'!A1</f>
        <v>NAME OF THE TRADING PARTICIPANT</v>
      </c>
      <c r="C1" s="156"/>
      <c r="D1" s="124"/>
    </row>
    <row r="2" spans="1:9">
      <c r="A2" s="464"/>
      <c r="B2" s="76" t="s">
        <v>152</v>
      </c>
      <c r="C2" s="464"/>
      <c r="D2" s="464"/>
    </row>
    <row r="3" spans="1:9">
      <c r="B3" s="2" t="s">
        <v>153</v>
      </c>
      <c r="C3" s="75"/>
      <c r="D3" s="75"/>
    </row>
    <row r="4" spans="1:9">
      <c r="B4" s="464" t="str">
        <f>+'trial balance'!A3</f>
        <v>mm/dd/yyyy</v>
      </c>
      <c r="C4" s="156"/>
      <c r="D4" s="156"/>
    </row>
    <row r="5" spans="1:9">
      <c r="C5" s="76"/>
      <c r="D5" s="76"/>
    </row>
    <row r="6" spans="1:9">
      <c r="B6" s="257"/>
      <c r="C6" s="257"/>
      <c r="D6" s="256"/>
    </row>
    <row r="7" spans="1:9">
      <c r="B7" s="257"/>
      <c r="C7" s="257"/>
      <c r="D7" s="256"/>
    </row>
    <row r="8" spans="1:9">
      <c r="A8" s="1" t="s">
        <v>154</v>
      </c>
      <c r="B8" s="754"/>
      <c r="C8" s="257"/>
      <c r="D8" s="256" t="s">
        <v>155</v>
      </c>
    </row>
    <row r="9" spans="1:9">
      <c r="B9" s="257"/>
      <c r="C9" s="257"/>
      <c r="D9" s="256"/>
    </row>
    <row r="10" spans="1:9">
      <c r="A10" s="1" t="s">
        <v>156</v>
      </c>
      <c r="B10" s="752">
        <f>IF(B8&gt;=DATEVALUE("01/01/2001"),100000000,IF(AND(B8&lt;DATEVALUE("01/01/2001"),B8&gt;0),30000000,IF(B8=0,0)))</f>
        <v>0</v>
      </c>
      <c r="C10" s="257"/>
      <c r="D10" s="256"/>
    </row>
    <row r="11" spans="1:9">
      <c r="B11" s="257"/>
      <c r="C11" s="257"/>
      <c r="D11" s="256"/>
    </row>
    <row r="12" spans="1:9">
      <c r="A12" s="1"/>
      <c r="B12" s="764"/>
      <c r="C12" s="257"/>
      <c r="D12" s="256"/>
    </row>
    <row r="13" spans="1:9">
      <c r="B13" s="257"/>
      <c r="C13" s="257"/>
      <c r="D13" s="256"/>
    </row>
    <row r="14" spans="1:9">
      <c r="A14" s="298"/>
    </row>
    <row r="15" spans="1:9" ht="27.75" customHeight="1">
      <c r="A15" s="445"/>
      <c r="B15" s="111" t="s">
        <v>157</v>
      </c>
      <c r="C15" s="111"/>
      <c r="D15" s="440" t="s">
        <v>158</v>
      </c>
      <c r="E15" s="273"/>
      <c r="F15" s="273"/>
      <c r="G15" s="273"/>
      <c r="H15" s="273"/>
      <c r="I15" s="273"/>
    </row>
    <row r="16" spans="1:9">
      <c r="A16" s="298"/>
      <c r="D16" s="441"/>
    </row>
    <row r="17" spans="1:4" ht="28.5">
      <c r="A17" s="751" t="str">
        <f>1&amp;"."</f>
        <v>1.</v>
      </c>
      <c r="B17" s="439" t="s">
        <v>159</v>
      </c>
      <c r="C17" s="439"/>
      <c r="D17" s="812">
        <f>+'trial balance'!C126</f>
        <v>0</v>
      </c>
    </row>
    <row r="18" spans="1:4" ht="14.25">
      <c r="A18" s="751" t="str">
        <f t="shared" ref="A18:A25" si="0">A17+1&amp;"."</f>
        <v>2.</v>
      </c>
      <c r="B18" s="439" t="s">
        <v>160</v>
      </c>
      <c r="C18" s="439"/>
      <c r="D18" s="812">
        <f>+'trial balance'!C128</f>
        <v>0</v>
      </c>
    </row>
    <row r="19" spans="1:4" ht="14.25">
      <c r="A19" s="751" t="str">
        <f t="shared" si="0"/>
        <v>3.</v>
      </c>
      <c r="B19" s="439" t="s">
        <v>161</v>
      </c>
      <c r="C19" s="439"/>
      <c r="D19" s="812">
        <f>+'trial balance'!C127</f>
        <v>0</v>
      </c>
    </row>
    <row r="20" spans="1:4" ht="14.25">
      <c r="A20" s="751" t="str">
        <f t="shared" si="0"/>
        <v>4.</v>
      </c>
      <c r="B20" s="439" t="s">
        <v>162</v>
      </c>
      <c r="C20" s="439"/>
      <c r="D20" s="812">
        <f>+'trial balance'!C129</f>
        <v>0</v>
      </c>
    </row>
    <row r="21" spans="1:4" ht="28.5">
      <c r="A21" s="751" t="str">
        <f t="shared" si="0"/>
        <v>5.</v>
      </c>
      <c r="B21" s="439" t="s">
        <v>163</v>
      </c>
      <c r="C21" s="439"/>
      <c r="D21" s="753"/>
    </row>
    <row r="22" spans="1:4" ht="14.25">
      <c r="A22" s="751" t="str">
        <f t="shared" si="0"/>
        <v>6.</v>
      </c>
      <c r="B22" s="439" t="s">
        <v>164</v>
      </c>
      <c r="C22" s="439"/>
      <c r="D22" s="812">
        <f>+'trial balance'!C132</f>
        <v>0</v>
      </c>
    </row>
    <row r="23" spans="1:4" ht="14.25">
      <c r="A23" s="751" t="str">
        <f t="shared" si="0"/>
        <v>7.</v>
      </c>
      <c r="B23" s="439" t="s">
        <v>165</v>
      </c>
      <c r="C23" s="439"/>
      <c r="D23" s="812">
        <f>+'trial balance'!C133</f>
        <v>0</v>
      </c>
    </row>
    <row r="24" spans="1:4" ht="14.25">
      <c r="A24" s="751" t="str">
        <f t="shared" si="0"/>
        <v>8.</v>
      </c>
      <c r="B24" s="439" t="s">
        <v>166</v>
      </c>
      <c r="C24" s="439"/>
      <c r="D24" s="812">
        <f>IF((+'trial balance'!C144-'trial balance'!B144)&gt;0,('trial balance'!C144-'trial balance'!B144)*-1,'trial balance'!C144-'trial balance'!B144)</f>
        <v>0</v>
      </c>
    </row>
    <row r="25" spans="1:4" ht="14.25">
      <c r="A25" s="751" t="str">
        <f t="shared" si="0"/>
        <v>9.</v>
      </c>
      <c r="B25" s="439" t="s">
        <v>167</v>
      </c>
      <c r="C25" s="439"/>
      <c r="D25" s="812">
        <f>IF('Financial Statements'!J163&lt;0,'Financial Statements'!J163,0)</f>
        <v>0</v>
      </c>
    </row>
    <row r="26" spans="1:4" ht="14.25">
      <c r="A26" s="298"/>
      <c r="C26" s="439"/>
      <c r="D26" s="441"/>
    </row>
    <row r="27" spans="1:4" ht="14.25">
      <c r="A27" s="299"/>
      <c r="B27" s="446"/>
      <c r="C27" s="446"/>
      <c r="D27" s="557"/>
    </row>
    <row r="28" spans="1:4" ht="16.5" customHeight="1" thickBot="1">
      <c r="A28" s="750" t="s">
        <v>168</v>
      </c>
      <c r="B28" s="443" t="s">
        <v>19</v>
      </c>
      <c r="C28" s="443"/>
      <c r="D28" s="813">
        <f>SUM(D17:D25)</f>
        <v>0</v>
      </c>
    </row>
    <row r="29" spans="1:4" ht="15.75" customHeight="1" thickTop="1">
      <c r="B29" s="113"/>
      <c r="C29" s="113"/>
      <c r="D29" s="1"/>
    </row>
    <row r="32" spans="1:4">
      <c r="A32" s="488"/>
      <c r="B32" s="811" t="str">
        <f>IF(AND(D28&gt;=B10,B10&gt;0),"COMPLIANT",IF(AND(D28&lt;B10,B10&gt;0,D28&gt;0),"NON-COMPLIANT: Report immediately to SEC &amp; CMIC",IF(D28=0,"No UPC Computed",IF(B10=0,"Please encode a date on cell #B8"))))</f>
        <v>No UPC Computed</v>
      </c>
    </row>
    <row r="35" spans="1:2">
      <c r="A35" s="1" t="s">
        <v>169</v>
      </c>
      <c r="B35" s="811" t="str">
        <f>IF(AND(B10=30000000,D28&lt;100000000),"YES",IF(OR(B10=100000000,D28&gt;=100000000),"NO"," "))</f>
        <v xml:space="preserve"> </v>
      </c>
    </row>
    <row r="37" spans="1:2">
      <c r="A37" s="1" t="s">
        <v>170</v>
      </c>
    </row>
    <row r="39" spans="1:2">
      <c r="A39" s="1" t="s">
        <v>171</v>
      </c>
      <c r="B39" s="814"/>
    </row>
    <row r="40" spans="1:2">
      <c r="A40" s="1" t="s">
        <v>107</v>
      </c>
      <c r="B40" s="815"/>
    </row>
    <row r="41" spans="1:2">
      <c r="A41" s="1" t="s">
        <v>172</v>
      </c>
      <c r="B41" s="815"/>
    </row>
    <row r="42" spans="1:2">
      <c r="A42" s="1" t="s">
        <v>173</v>
      </c>
      <c r="B42" s="815"/>
    </row>
  </sheetData>
  <sheetProtection password="9399" sheet="1"/>
  <protectedRanges>
    <protectedRange sqref="D21" name="Range1"/>
    <protectedRange sqref="B39:B42" name="Range2"/>
    <protectedRange sqref="B8" name="Range3"/>
  </protectedRanges>
  <phoneticPr fontId="0" type="noConversion"/>
  <conditionalFormatting sqref="B32">
    <cfRule type="containsText" dxfId="2" priority="1" stopIfTrue="1" operator="containsText" text="No UPC Computed">
      <formula>NOT(ISERROR(SEARCH("No UPC Computed",B32)))</formula>
    </cfRule>
    <cfRule type="containsText" dxfId="1" priority="2" stopIfTrue="1" operator="containsText" text="Please encode a date on cell #B8">
      <formula>NOT(ISERROR(SEARCH("Please encode a date on cell #B8",B32)))</formula>
    </cfRule>
    <cfRule type="containsText" dxfId="0" priority="3" stopIfTrue="1" operator="containsText" text="NON-COMPLIANT: Report immediately to SEC &amp; CMIC">
      <formula>NOT(ISERROR(SEARCH("NON-COMPLIANT: Report immediately to SEC &amp; CMIC",B32)))</formula>
    </cfRule>
  </conditionalFormatting>
  <printOptions horizontalCentered="1"/>
  <pageMargins left="0.75" right="0.75" top="1" bottom="1" header="0.5" footer="0.5"/>
  <pageSetup orientation="landscape" r:id="rId1"/>
  <headerFooter alignWithMargins="0">
    <oddFooter>&amp;CPage &amp;P of &amp;N&amp;R&amp;A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0</xdr:col>
                    <xdr:colOff>1152525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0</xdr:col>
                    <xdr:colOff>1152525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3463-C52B-4DA5-AFD9-9CFD9F6914B5}">
  <dimension ref="B1:H35"/>
  <sheetViews>
    <sheetView zoomScaleNormal="100" workbookViewId="0">
      <selection activeCell="I7" sqref="I7"/>
    </sheetView>
  </sheetViews>
  <sheetFormatPr defaultRowHeight="12.75"/>
  <cols>
    <col min="1" max="1" width="3.7109375" customWidth="1"/>
    <col min="2" max="2" width="12.5703125" customWidth="1"/>
    <col min="3" max="3" width="16.7109375" customWidth="1"/>
    <col min="4" max="4" width="11.5703125" customWidth="1"/>
    <col min="7" max="7" width="12.7109375" customWidth="1"/>
    <col min="8" max="8" width="14" bestFit="1" customWidth="1"/>
  </cols>
  <sheetData>
    <row r="1" spans="2:8">
      <c r="B1" s="183" t="s">
        <v>174</v>
      </c>
    </row>
    <row r="2" spans="2:8">
      <c r="B2" s="184" t="s">
        <v>175</v>
      </c>
    </row>
    <row r="3" spans="2:8">
      <c r="B3" s="184" t="s">
        <v>176</v>
      </c>
    </row>
    <row r="6" spans="2:8">
      <c r="B6" s="1" t="s">
        <v>177</v>
      </c>
      <c r="F6" s="1" t="s">
        <v>178</v>
      </c>
    </row>
    <row r="7" spans="2:8">
      <c r="B7" s="210">
        <v>1</v>
      </c>
      <c r="C7" s="210" t="s">
        <v>179</v>
      </c>
      <c r="D7" s="210">
        <v>1</v>
      </c>
      <c r="F7">
        <v>0</v>
      </c>
      <c r="G7" t="s">
        <v>180</v>
      </c>
    </row>
    <row r="8" spans="2:8">
      <c r="B8" s="210">
        <v>2</v>
      </c>
      <c r="C8" s="210" t="s">
        <v>181</v>
      </c>
      <c r="D8" s="210">
        <v>0.75</v>
      </c>
      <c r="F8">
        <v>1</v>
      </c>
      <c r="G8" t="s">
        <v>182</v>
      </c>
    </row>
    <row r="9" spans="2:8">
      <c r="B9" s="210">
        <v>3</v>
      </c>
      <c r="C9" s="210" t="s">
        <v>182</v>
      </c>
      <c r="D9" s="210">
        <v>0.5</v>
      </c>
      <c r="F9">
        <v>2</v>
      </c>
      <c r="G9" t="s">
        <v>181</v>
      </c>
    </row>
    <row r="10" spans="2:8">
      <c r="B10" s="210">
        <v>4</v>
      </c>
      <c r="C10" s="210" t="s">
        <v>180</v>
      </c>
      <c r="D10" s="210">
        <v>0</v>
      </c>
      <c r="F10">
        <v>3</v>
      </c>
      <c r="G10" t="s">
        <v>179</v>
      </c>
    </row>
    <row r="11" spans="2:8">
      <c r="B11" s="210">
        <v>5</v>
      </c>
      <c r="C11" s="210"/>
      <c r="D11" s="210"/>
      <c r="F11">
        <v>4</v>
      </c>
    </row>
    <row r="13" spans="2:8">
      <c r="B13" s="1" t="s">
        <v>183</v>
      </c>
      <c r="F13" s="1" t="s">
        <v>184</v>
      </c>
    </row>
    <row r="14" spans="2:8">
      <c r="B14" s="210">
        <v>1</v>
      </c>
      <c r="C14" t="s">
        <v>185</v>
      </c>
    </row>
    <row r="15" spans="2:8">
      <c r="B15" s="210">
        <v>2</v>
      </c>
      <c r="C15" t="s">
        <v>186</v>
      </c>
      <c r="F15" t="s">
        <v>187</v>
      </c>
      <c r="H15" s="94">
        <f>IF('MS-25%'!H8&gt;0,'MS-25%'!H8,0)</f>
        <v>0</v>
      </c>
    </row>
    <row r="16" spans="2:8">
      <c r="B16" s="210">
        <v>3</v>
      </c>
      <c r="F16" t="s">
        <v>188</v>
      </c>
      <c r="H16" s="94">
        <f>'trial balance'!C17</f>
        <v>0</v>
      </c>
    </row>
    <row r="18" spans="2:4">
      <c r="B18" s="1" t="s">
        <v>189</v>
      </c>
    </row>
    <row r="19" spans="2:4">
      <c r="B19">
        <v>1</v>
      </c>
      <c r="C19">
        <v>0.35</v>
      </c>
    </row>
    <row r="20" spans="2:4">
      <c r="B20">
        <v>2</v>
      </c>
      <c r="C20">
        <v>0.25</v>
      </c>
    </row>
    <row r="21" spans="2:4">
      <c r="B21">
        <v>3</v>
      </c>
    </row>
    <row r="23" spans="2:4">
      <c r="B23" t="s">
        <v>13</v>
      </c>
    </row>
    <row r="28" spans="2:4">
      <c r="B28" s="153" t="s">
        <v>190</v>
      </c>
    </row>
    <row r="30" spans="2:4">
      <c r="B30" t="s">
        <v>191</v>
      </c>
      <c r="D30" s="621" t="str">
        <f>'trial balance'!A4</f>
        <v/>
      </c>
    </row>
    <row r="31" spans="2:4">
      <c r="B31" t="s">
        <v>192</v>
      </c>
      <c r="D31" s="621" t="str">
        <f>'trial balance'!D16</f>
        <v/>
      </c>
    </row>
    <row r="32" spans="2:4">
      <c r="B32" t="s">
        <v>193</v>
      </c>
      <c r="D32" s="622">
        <f>'Financial Statements'!J9</f>
        <v>0</v>
      </c>
    </row>
    <row r="33" spans="4:4">
      <c r="D33" s="621"/>
    </row>
    <row r="34" spans="4:4">
      <c r="D34" s="621"/>
    </row>
    <row r="35" spans="4:4">
      <c r="D35" s="621"/>
    </row>
  </sheetData>
  <sheetProtection password="CC22" sheet="1" objects="1" scenarios="1"/>
  <customSheetViews>
    <customSheetView guid="{504CC784-4394-4648-B9CE-DFC32001696E}" state="hidden" showRuler="0">
      <selection activeCell="D17" sqref="D17"/>
      <pageMargins left="0" right="0" top="0" bottom="0" header="0" footer="0"/>
      <pageSetup orientation="portrait" verticalDpi="0" r:id="rId1"/>
      <headerFooter alignWithMargins="0"/>
    </customSheetView>
  </customSheetViews>
  <phoneticPr fontId="22" type="noConversion"/>
  <pageMargins left="0.75" right="0.75" top="1" bottom="1" header="0.5" footer="0.5"/>
  <pageSetup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705C3-FADB-439B-9C9E-2531710DF809}">
  <sheetPr codeName="Sheet6"/>
  <dimension ref="A1:F207"/>
  <sheetViews>
    <sheetView topLeftCell="A104" zoomScaleNormal="100" workbookViewId="0">
      <selection activeCell="C119" sqref="C119"/>
    </sheetView>
  </sheetViews>
  <sheetFormatPr defaultRowHeight="12.75"/>
  <cols>
    <col min="1" max="1" width="51.85546875" customWidth="1"/>
    <col min="2" max="2" width="17.28515625" style="454" customWidth="1"/>
    <col min="3" max="3" width="15.28515625" style="454" customWidth="1"/>
    <col min="4" max="4" width="15.5703125" customWidth="1"/>
    <col min="5" max="5" width="14.5703125" customWidth="1"/>
    <col min="6" max="6" width="14.7109375" customWidth="1"/>
  </cols>
  <sheetData>
    <row r="1" spans="1:6" s="11" customFormat="1" ht="15">
      <c r="A1" s="672" t="s">
        <v>194</v>
      </c>
      <c r="B1" s="673"/>
      <c r="C1" s="674"/>
    </row>
    <row r="2" spans="1:6" s="11" customFormat="1" ht="15">
      <c r="A2" s="156" t="s">
        <v>195</v>
      </c>
      <c r="B2" s="267"/>
      <c r="C2" s="267"/>
    </row>
    <row r="3" spans="1:6" s="11" customFormat="1" ht="15">
      <c r="A3" s="675" t="s">
        <v>196</v>
      </c>
      <c r="B3" s="676"/>
      <c r="C3" s="676"/>
    </row>
    <row r="4" spans="1:6">
      <c r="A4" s="255" t="str">
        <f>IF($B$205&lt;&gt;$C$205,"Warning:  Total Debits does not tie up with Total credits.  Pls check.","")</f>
        <v/>
      </c>
      <c r="B4" s="779"/>
      <c r="C4" s="779"/>
    </row>
    <row r="5" spans="1:6">
      <c r="A5" s="1"/>
      <c r="B5" s="779"/>
      <c r="C5" s="779"/>
    </row>
    <row r="6" spans="1:6" s="15" customFormat="1" ht="13.5" customHeight="1" thickBot="1">
      <c r="A6" s="780"/>
      <c r="B6" s="89" t="s">
        <v>197</v>
      </c>
      <c r="C6" s="89" t="s">
        <v>198</v>
      </c>
      <c r="D6" s="780"/>
      <c r="E6" s="780"/>
      <c r="F6" s="780"/>
    </row>
    <row r="7" spans="1:6">
      <c r="B7" s="453"/>
      <c r="C7" s="453"/>
    </row>
    <row r="8" spans="1:6">
      <c r="A8" t="s">
        <v>199</v>
      </c>
      <c r="B8" s="781"/>
      <c r="C8" s="782"/>
      <c r="E8" s="103"/>
      <c r="F8" s="103"/>
    </row>
    <row r="9" spans="1:6">
      <c r="A9" t="s">
        <v>200</v>
      </c>
      <c r="B9" s="781"/>
      <c r="C9" s="782"/>
      <c r="E9" s="103"/>
      <c r="F9" s="103"/>
    </row>
    <row r="10" spans="1:6">
      <c r="A10" s="118" t="s">
        <v>3</v>
      </c>
      <c r="B10" s="783">
        <f>'Cash in Bank'!E26</f>
        <v>0</v>
      </c>
      <c r="C10" s="782"/>
      <c r="E10" s="103"/>
      <c r="F10" s="103"/>
    </row>
    <row r="11" spans="1:6">
      <c r="A11" s="539" t="s">
        <v>201</v>
      </c>
      <c r="B11" s="783">
        <f>'Cash in Bank'!E54</f>
        <v>0</v>
      </c>
      <c r="C11" s="782"/>
      <c r="E11" s="103"/>
      <c r="F11" s="103"/>
    </row>
    <row r="12" spans="1:6">
      <c r="B12" s="782"/>
      <c r="C12" s="782"/>
      <c r="E12" s="103"/>
      <c r="F12" s="103"/>
    </row>
    <row r="13" spans="1:6">
      <c r="A13" s="209" t="s">
        <v>202</v>
      </c>
      <c r="B13" s="783">
        <f>Placement!C25</f>
        <v>0</v>
      </c>
      <c r="C13" s="782"/>
      <c r="E13" s="103"/>
      <c r="F13" s="103"/>
    </row>
    <row r="14" spans="1:6">
      <c r="B14" s="782"/>
      <c r="C14" s="782"/>
      <c r="E14" s="103"/>
      <c r="F14" s="103"/>
    </row>
    <row r="15" spans="1:6">
      <c r="A15" s="118" t="s">
        <v>203</v>
      </c>
      <c r="B15" s="781"/>
      <c r="C15" s="782"/>
      <c r="E15" s="103"/>
      <c r="F15" s="103"/>
    </row>
    <row r="16" spans="1:6">
      <c r="A16" s="488" t="s">
        <v>204</v>
      </c>
      <c r="B16" s="781"/>
      <c r="C16" s="782"/>
      <c r="D16" s="184" t="str">
        <f>IF(AND((SUM(B15:B16)-'MS-25%'!F8)&lt;1,(SUM(B15:B16)-'MS-25%'!F8)&gt;-1),"","Total Marketable Securities per TB does not tie up with supporting schedule.")</f>
        <v/>
      </c>
      <c r="E16" s="103"/>
      <c r="F16" s="103"/>
    </row>
    <row r="17" spans="1:6">
      <c r="A17" t="s">
        <v>205</v>
      </c>
      <c r="B17" s="782"/>
      <c r="C17" s="781"/>
      <c r="E17" s="103"/>
      <c r="F17" s="103"/>
    </row>
    <row r="18" spans="1:6">
      <c r="A18" s="488"/>
      <c r="B18" s="782"/>
      <c r="C18" s="782"/>
      <c r="E18" s="103"/>
      <c r="F18" s="103"/>
    </row>
    <row r="19" spans="1:6">
      <c r="A19" s="118" t="s">
        <v>206</v>
      </c>
      <c r="B19" s="783">
        <f>Receivables!C11</f>
        <v>0</v>
      </c>
      <c r="C19" s="782"/>
      <c r="D19" s="184"/>
      <c r="E19" s="103"/>
      <c r="F19" s="103"/>
    </row>
    <row r="20" spans="1:6">
      <c r="A20" t="s">
        <v>207</v>
      </c>
      <c r="B20" s="782"/>
      <c r="C20" s="781"/>
      <c r="E20" s="103"/>
      <c r="F20" s="103"/>
    </row>
    <row r="21" spans="1:6">
      <c r="A21" t="s">
        <v>208</v>
      </c>
      <c r="B21" s="781"/>
      <c r="C21" s="782"/>
      <c r="E21" s="103"/>
      <c r="F21" s="103"/>
    </row>
    <row r="22" spans="1:6">
      <c r="A22" t="s">
        <v>209</v>
      </c>
      <c r="B22" s="781"/>
      <c r="C22" s="782"/>
      <c r="E22" s="103"/>
      <c r="F22" s="103"/>
    </row>
    <row r="23" spans="1:6">
      <c r="A23" t="s">
        <v>210</v>
      </c>
      <c r="B23" s="781"/>
      <c r="C23" s="782"/>
      <c r="E23" s="103"/>
      <c r="F23" s="103"/>
    </row>
    <row r="24" spans="1:6">
      <c r="A24" t="s">
        <v>211</v>
      </c>
      <c r="B24" s="781"/>
      <c r="C24" s="782"/>
      <c r="E24" s="103"/>
      <c r="F24" s="103"/>
    </row>
    <row r="25" spans="1:6">
      <c r="A25" t="s">
        <v>212</v>
      </c>
      <c r="B25" s="781"/>
      <c r="C25" s="781"/>
      <c r="E25" s="103"/>
      <c r="F25" s="103"/>
    </row>
    <row r="26" spans="1:6">
      <c r="A26" t="s">
        <v>119</v>
      </c>
      <c r="B26" s="781"/>
      <c r="C26" s="781"/>
      <c r="E26" s="103"/>
      <c r="F26" s="103"/>
    </row>
    <row r="27" spans="1:6">
      <c r="A27" t="s">
        <v>118</v>
      </c>
      <c r="B27" s="781"/>
      <c r="C27" s="781"/>
      <c r="E27" s="103"/>
      <c r="F27" s="103"/>
    </row>
    <row r="28" spans="1:6" ht="11.25" customHeight="1">
      <c r="A28" t="s">
        <v>213</v>
      </c>
      <c r="B28" s="781"/>
      <c r="C28" s="781"/>
      <c r="E28" s="103"/>
      <c r="F28" s="103"/>
    </row>
    <row r="29" spans="1:6" ht="11.25" customHeight="1">
      <c r="B29" s="782"/>
      <c r="C29" s="782"/>
      <c r="E29" s="103"/>
      <c r="F29" s="103"/>
    </row>
    <row r="30" spans="1:6" ht="11.25" customHeight="1">
      <c r="A30" s="784" t="s">
        <v>214</v>
      </c>
      <c r="B30" s="785"/>
      <c r="C30" s="782"/>
      <c r="E30" s="103"/>
      <c r="F30" s="103"/>
    </row>
    <row r="31" spans="1:6" ht="11.25" customHeight="1">
      <c r="B31" s="782"/>
      <c r="C31" s="782"/>
      <c r="E31" s="103"/>
      <c r="F31" s="103"/>
    </row>
    <row r="32" spans="1:6" ht="11.25" customHeight="1">
      <c r="A32" t="s">
        <v>215</v>
      </c>
      <c r="B32" s="781"/>
      <c r="C32" s="781"/>
      <c r="E32" s="103"/>
      <c r="F32" s="103"/>
    </row>
    <row r="33" spans="1:6" ht="11.25" customHeight="1">
      <c r="A33" t="s">
        <v>216</v>
      </c>
      <c r="B33" s="781"/>
      <c r="C33" s="781"/>
      <c r="E33" s="103"/>
      <c r="F33" s="103"/>
    </row>
    <row r="34" spans="1:6" ht="11.25" customHeight="1">
      <c r="A34" t="s">
        <v>217</v>
      </c>
      <c r="B34" s="781"/>
      <c r="C34" s="781"/>
      <c r="E34" s="103"/>
      <c r="F34" s="103"/>
    </row>
    <row r="35" spans="1:6" ht="11.25" customHeight="1">
      <c r="A35" t="s">
        <v>218</v>
      </c>
      <c r="B35" s="781"/>
      <c r="C35" s="781"/>
      <c r="E35" s="103"/>
      <c r="F35" s="103"/>
    </row>
    <row r="36" spans="1:6" ht="11.25" customHeight="1">
      <c r="A36" t="s">
        <v>219</v>
      </c>
      <c r="B36" s="781"/>
      <c r="C36" s="781"/>
      <c r="E36" s="103"/>
      <c r="F36" s="103"/>
    </row>
    <row r="37" spans="1:6">
      <c r="A37" t="s">
        <v>220</v>
      </c>
      <c r="B37" s="781"/>
      <c r="C37" s="781"/>
      <c r="E37" s="103"/>
      <c r="F37" s="103"/>
    </row>
    <row r="38" spans="1:6">
      <c r="A38" s="488" t="s">
        <v>221</v>
      </c>
      <c r="B38" s="781"/>
      <c r="C38" s="781"/>
      <c r="E38" s="103"/>
      <c r="F38" s="103"/>
    </row>
    <row r="39" spans="1:6">
      <c r="A39" t="s">
        <v>222</v>
      </c>
      <c r="B39" s="781"/>
      <c r="C39" s="781"/>
      <c r="E39" s="103"/>
      <c r="F39" s="103"/>
    </row>
    <row r="40" spans="1:6">
      <c r="A40" s="32" t="s">
        <v>223</v>
      </c>
      <c r="B40" s="781"/>
      <c r="C40" s="781"/>
      <c r="E40" s="103"/>
      <c r="F40" s="103"/>
    </row>
    <row r="41" spans="1:6">
      <c r="B41" s="782"/>
      <c r="C41" s="782"/>
      <c r="E41" s="103"/>
      <c r="F41" s="103"/>
    </row>
    <row r="42" spans="1:6">
      <c r="A42" s="488" t="s">
        <v>224</v>
      </c>
      <c r="B42" s="783">
        <f>Placement!C36+Placement!C46+Placement!C66</f>
        <v>0</v>
      </c>
      <c r="C42" s="782"/>
      <c r="E42" s="103"/>
      <c r="F42" s="103"/>
    </row>
    <row r="43" spans="1:6">
      <c r="A43" s="488" t="s">
        <v>225</v>
      </c>
      <c r="B43" s="783">
        <f>Placement!C56+Placement!C76</f>
        <v>0</v>
      </c>
      <c r="C43" s="782"/>
      <c r="E43" s="103"/>
      <c r="F43" s="103"/>
    </row>
    <row r="44" spans="1:6">
      <c r="B44" s="782"/>
      <c r="C44" s="782"/>
      <c r="E44" s="103"/>
      <c r="F44" s="103"/>
    </row>
    <row r="45" spans="1:6">
      <c r="A45" t="s">
        <v>226</v>
      </c>
      <c r="B45" s="781"/>
      <c r="C45" s="781"/>
      <c r="E45" s="103"/>
      <c r="F45" s="103"/>
    </row>
    <row r="46" spans="1:6">
      <c r="B46" s="782"/>
      <c r="C46" s="782"/>
      <c r="E46" s="103"/>
      <c r="F46" s="103"/>
    </row>
    <row r="47" spans="1:6">
      <c r="A47" s="32" t="s">
        <v>227</v>
      </c>
      <c r="B47" s="781"/>
      <c r="C47" s="782"/>
      <c r="E47" s="103"/>
      <c r="F47" s="103"/>
    </row>
    <row r="48" spans="1:6">
      <c r="A48" s="32"/>
      <c r="B48" s="782"/>
      <c r="C48" s="782"/>
      <c r="E48" s="103"/>
      <c r="F48" s="103"/>
    </row>
    <row r="49" spans="1:6">
      <c r="A49" s="32" t="s">
        <v>228</v>
      </c>
      <c r="B49" s="781"/>
      <c r="C49" s="782"/>
      <c r="E49" s="103"/>
      <c r="F49" s="103"/>
    </row>
    <row r="50" spans="1:6">
      <c r="A50" s="32"/>
      <c r="B50" s="782"/>
      <c r="C50" s="782"/>
      <c r="E50" s="103"/>
      <c r="F50" s="103"/>
    </row>
    <row r="51" spans="1:6">
      <c r="A51" s="488" t="s">
        <v>229</v>
      </c>
      <c r="B51" s="781"/>
      <c r="C51" s="782"/>
      <c r="E51" s="103"/>
      <c r="F51" s="103"/>
    </row>
    <row r="52" spans="1:6">
      <c r="A52" s="488" t="s">
        <v>230</v>
      </c>
      <c r="B52" s="781"/>
      <c r="C52" s="782"/>
      <c r="E52" s="103"/>
      <c r="F52" s="103"/>
    </row>
    <row r="53" spans="1:6">
      <c r="A53" s="488" t="s">
        <v>231</v>
      </c>
      <c r="B53" s="782"/>
      <c r="C53" s="781"/>
      <c r="E53" s="103"/>
      <c r="F53" s="103"/>
    </row>
    <row r="54" spans="1:6">
      <c r="A54" s="488" t="s">
        <v>232</v>
      </c>
      <c r="B54" s="781"/>
      <c r="C54" s="782"/>
      <c r="E54" s="103"/>
      <c r="F54" s="103"/>
    </row>
    <row r="55" spans="1:6">
      <c r="A55" s="488"/>
      <c r="B55" s="782"/>
      <c r="C55" s="782"/>
      <c r="E55" s="103"/>
      <c r="F55" s="103"/>
    </row>
    <row r="56" spans="1:6">
      <c r="A56" t="s">
        <v>233</v>
      </c>
      <c r="B56" s="781"/>
      <c r="C56" s="782"/>
      <c r="E56" s="103"/>
      <c r="F56" s="103"/>
    </row>
    <row r="57" spans="1:6">
      <c r="A57" t="s">
        <v>234</v>
      </c>
      <c r="B57" s="781"/>
      <c r="C57" s="782"/>
      <c r="E57" s="103"/>
      <c r="F57" s="103"/>
    </row>
    <row r="58" spans="1:6">
      <c r="A58" t="s">
        <v>235</v>
      </c>
      <c r="B58" s="781"/>
      <c r="C58" s="782"/>
      <c r="E58" s="103"/>
      <c r="F58" s="103"/>
    </row>
    <row r="59" spans="1:6">
      <c r="A59" t="s">
        <v>236</v>
      </c>
      <c r="B59" s="782"/>
      <c r="C59" s="781"/>
      <c r="E59" s="103"/>
      <c r="F59" s="103"/>
    </row>
    <row r="60" spans="1:6">
      <c r="A60" t="s">
        <v>237</v>
      </c>
      <c r="B60" s="781"/>
      <c r="C60" s="782"/>
      <c r="E60" s="103"/>
      <c r="F60" s="103"/>
    </row>
    <row r="61" spans="1:6">
      <c r="A61" t="s">
        <v>238</v>
      </c>
      <c r="B61" s="782"/>
      <c r="C61" s="781"/>
      <c r="E61" s="103"/>
      <c r="F61" s="103"/>
    </row>
    <row r="62" spans="1:6">
      <c r="A62" t="s">
        <v>239</v>
      </c>
      <c r="B62" s="781"/>
      <c r="C62" s="782"/>
      <c r="E62" s="103"/>
      <c r="F62" s="103"/>
    </row>
    <row r="63" spans="1:6">
      <c r="A63" t="s">
        <v>240</v>
      </c>
      <c r="B63" s="782"/>
      <c r="C63" s="781"/>
      <c r="E63" s="103"/>
      <c r="F63" s="103"/>
    </row>
    <row r="64" spans="1:6">
      <c r="A64" t="s">
        <v>241</v>
      </c>
      <c r="B64" s="781"/>
      <c r="C64" s="782"/>
      <c r="E64" s="103"/>
      <c r="F64" s="103"/>
    </row>
    <row r="65" spans="1:6">
      <c r="A65" t="s">
        <v>242</v>
      </c>
      <c r="B65" s="782"/>
      <c r="C65" s="781"/>
      <c r="E65" s="103"/>
      <c r="F65" s="103"/>
    </row>
    <row r="66" spans="1:6">
      <c r="A66" t="s">
        <v>243</v>
      </c>
      <c r="B66" s="781"/>
      <c r="C66" s="782"/>
      <c r="E66" s="103"/>
      <c r="F66" s="103"/>
    </row>
    <row r="67" spans="1:6">
      <c r="A67" t="s">
        <v>244</v>
      </c>
      <c r="B67" s="782"/>
      <c r="C67" s="781"/>
      <c r="E67" s="103"/>
      <c r="F67" s="103"/>
    </row>
    <row r="68" spans="1:6" s="32" customFormat="1">
      <c r="A68" s="488" t="s">
        <v>245</v>
      </c>
      <c r="B68" s="781"/>
      <c r="C68" s="782"/>
      <c r="D68"/>
      <c r="E68" s="103"/>
      <c r="F68" s="103"/>
    </row>
    <row r="69" spans="1:6">
      <c r="A69" s="488" t="s">
        <v>246</v>
      </c>
      <c r="B69" s="782"/>
      <c r="C69" s="781"/>
      <c r="E69" s="103"/>
      <c r="F69" s="103"/>
    </row>
    <row r="70" spans="1:6">
      <c r="A70" s="488"/>
      <c r="B70" s="781"/>
      <c r="C70" s="781"/>
      <c r="E70" s="103"/>
      <c r="F70" s="103"/>
    </row>
    <row r="71" spans="1:6">
      <c r="A71" s="32"/>
      <c r="B71" s="782"/>
      <c r="C71" s="782"/>
      <c r="E71" s="103"/>
      <c r="F71" s="103"/>
    </row>
    <row r="72" spans="1:6">
      <c r="A72" s="3" t="s">
        <v>247</v>
      </c>
      <c r="B72" s="781"/>
      <c r="C72" s="782"/>
      <c r="E72" s="103"/>
      <c r="F72" s="103"/>
    </row>
    <row r="73" spans="1:6">
      <c r="A73" s="3" t="s">
        <v>248</v>
      </c>
      <c r="B73" s="781"/>
      <c r="C73" s="782"/>
      <c r="E73" s="103"/>
      <c r="F73" s="103"/>
    </row>
    <row r="74" spans="1:6">
      <c r="A74" s="3" t="s">
        <v>249</v>
      </c>
      <c r="B74" s="781"/>
      <c r="C74" s="782"/>
      <c r="E74" s="103"/>
      <c r="F74" s="103"/>
    </row>
    <row r="75" spans="1:6">
      <c r="A75" s="3" t="s">
        <v>250</v>
      </c>
      <c r="B75" s="781"/>
      <c r="C75" s="782"/>
      <c r="E75" s="103"/>
      <c r="F75" s="103"/>
    </row>
    <row r="76" spans="1:6">
      <c r="A76" s="3" t="s">
        <v>251</v>
      </c>
      <c r="B76" s="781"/>
      <c r="C76" s="782"/>
      <c r="E76" s="103"/>
      <c r="F76" s="103"/>
    </row>
    <row r="77" spans="1:6">
      <c r="A77" s="3" t="s">
        <v>252</v>
      </c>
      <c r="B77" s="781"/>
      <c r="C77" s="782"/>
      <c r="E77" s="103"/>
      <c r="F77" s="103"/>
    </row>
    <row r="78" spans="1:6">
      <c r="A78" s="3"/>
      <c r="B78" s="782"/>
      <c r="C78" s="782"/>
    </row>
    <row r="79" spans="1:6">
      <c r="A79" s="3" t="s">
        <v>253</v>
      </c>
      <c r="B79" s="782"/>
      <c r="C79" s="781"/>
    </row>
    <row r="80" spans="1:6">
      <c r="A80" s="3" t="s">
        <v>254</v>
      </c>
      <c r="B80" s="782"/>
      <c r="C80" s="781"/>
    </row>
    <row r="81" spans="1:3">
      <c r="A81" s="3" t="s">
        <v>255</v>
      </c>
      <c r="B81" s="782"/>
      <c r="C81" s="781"/>
    </row>
    <row r="82" spans="1:3">
      <c r="A82" s="3" t="s">
        <v>256</v>
      </c>
      <c r="B82" s="782"/>
      <c r="C82" s="781"/>
    </row>
    <row r="83" spans="1:3">
      <c r="A83" s="3" t="s">
        <v>257</v>
      </c>
      <c r="B83" s="782"/>
      <c r="C83" s="781"/>
    </row>
    <row r="84" spans="1:3">
      <c r="A84" s="3" t="s">
        <v>258</v>
      </c>
      <c r="B84" s="782"/>
      <c r="C84" s="783">
        <f>'Cash in Bank'!E41</f>
        <v>0</v>
      </c>
    </row>
    <row r="85" spans="1:3">
      <c r="A85" s="3" t="s">
        <v>259</v>
      </c>
      <c r="B85" s="458"/>
      <c r="C85" s="781"/>
    </row>
    <row r="86" spans="1:3">
      <c r="A86" s="3" t="s">
        <v>260</v>
      </c>
      <c r="B86" s="458"/>
      <c r="C86" s="781"/>
    </row>
    <row r="87" spans="1:3">
      <c r="A87" s="3" t="s">
        <v>261</v>
      </c>
      <c r="B87" s="458"/>
      <c r="C87" s="781"/>
    </row>
    <row r="88" spans="1:3">
      <c r="A88" s="3" t="s">
        <v>262</v>
      </c>
      <c r="B88" s="458"/>
      <c r="C88" s="781"/>
    </row>
    <row r="89" spans="1:3">
      <c r="A89" s="3" t="s">
        <v>263</v>
      </c>
      <c r="B89" s="458"/>
      <c r="C89" s="781"/>
    </row>
    <row r="90" spans="1:3">
      <c r="A90" s="3" t="s">
        <v>264</v>
      </c>
      <c r="B90" s="458"/>
      <c r="C90" s="781"/>
    </row>
    <row r="91" spans="1:3">
      <c r="A91" s="3" t="s">
        <v>265</v>
      </c>
      <c r="B91" s="458"/>
      <c r="C91" s="781"/>
    </row>
    <row r="92" spans="1:3">
      <c r="A92" s="3" t="s">
        <v>266</v>
      </c>
      <c r="B92" s="458"/>
      <c r="C92" s="781"/>
    </row>
    <row r="93" spans="1:3">
      <c r="A93" s="3" t="s">
        <v>267</v>
      </c>
      <c r="B93" s="458"/>
      <c r="C93" s="781"/>
    </row>
    <row r="94" spans="1:3">
      <c r="A94" s="3" t="s">
        <v>268</v>
      </c>
      <c r="B94" s="458"/>
      <c r="C94" s="781"/>
    </row>
    <row r="95" spans="1:3">
      <c r="A95" s="3" t="s">
        <v>269</v>
      </c>
      <c r="B95" s="458"/>
      <c r="C95" s="781"/>
    </row>
    <row r="96" spans="1:3">
      <c r="A96" s="3" t="s">
        <v>270</v>
      </c>
      <c r="B96" s="458"/>
      <c r="C96" s="781"/>
    </row>
    <row r="97" spans="1:4">
      <c r="A97" s="3" t="s">
        <v>271</v>
      </c>
      <c r="B97" s="458"/>
      <c r="C97" s="781"/>
    </row>
    <row r="98" spans="1:4">
      <c r="A98" s="3" t="s">
        <v>272</v>
      </c>
      <c r="B98" s="458"/>
      <c r="C98" s="781"/>
    </row>
    <row r="99" spans="1:4">
      <c r="A99" s="3" t="s">
        <v>273</v>
      </c>
      <c r="B99" s="458"/>
      <c r="C99" s="781"/>
    </row>
    <row r="100" spans="1:4">
      <c r="A100" s="3" t="s">
        <v>274</v>
      </c>
      <c r="B100" s="458"/>
      <c r="C100" s="781"/>
    </row>
    <row r="101" spans="1:4">
      <c r="A101" s="3" t="s">
        <v>275</v>
      </c>
      <c r="B101" s="458"/>
      <c r="C101" s="781"/>
    </row>
    <row r="102" spans="1:4">
      <c r="A102" s="3" t="s">
        <v>276</v>
      </c>
      <c r="B102" s="458"/>
      <c r="C102" s="781"/>
    </row>
    <row r="103" spans="1:4">
      <c r="A103" s="3" t="s">
        <v>277</v>
      </c>
      <c r="B103" s="458"/>
      <c r="C103" s="781"/>
    </row>
    <row r="104" spans="1:4" ht="11.25" customHeight="1">
      <c r="A104" s="3" t="s">
        <v>278</v>
      </c>
      <c r="B104" s="458"/>
      <c r="C104" s="781"/>
    </row>
    <row r="105" spans="1:4" ht="11.25" customHeight="1">
      <c r="A105" s="3" t="s">
        <v>279</v>
      </c>
      <c r="B105" s="458"/>
      <c r="C105" s="781"/>
    </row>
    <row r="106" spans="1:4" ht="11.25" customHeight="1">
      <c r="A106" s="3" t="s">
        <v>280</v>
      </c>
      <c r="B106" s="458"/>
      <c r="C106" s="781"/>
    </row>
    <row r="107" spans="1:4" ht="11.25" customHeight="1">
      <c r="A107" s="548" t="s">
        <v>281</v>
      </c>
      <c r="B107" s="558"/>
      <c r="C107" s="785">
        <f>Others!G120</f>
        <v>0</v>
      </c>
      <c r="D107" s="184" t="str">
        <f>IF(SUM(C107)&lt;&gt;Others!G120,"Total Loans Payable per TB does not tie up with supporting schedule.","")</f>
        <v/>
      </c>
    </row>
    <row r="108" spans="1:4">
      <c r="A108" s="3" t="s">
        <v>282</v>
      </c>
      <c r="B108" s="458"/>
      <c r="C108" s="781"/>
    </row>
    <row r="109" spans="1:4">
      <c r="A109" s="3" t="s">
        <v>283</v>
      </c>
      <c r="B109" s="458"/>
      <c r="C109" s="781"/>
    </row>
    <row r="110" spans="1:4">
      <c r="A110" s="3" t="s">
        <v>284</v>
      </c>
      <c r="B110" s="458"/>
      <c r="C110" s="781"/>
    </row>
    <row r="111" spans="1:4">
      <c r="A111" s="3" t="s">
        <v>285</v>
      </c>
      <c r="B111" s="458"/>
      <c r="C111" s="781"/>
    </row>
    <row r="112" spans="1:4">
      <c r="A112" s="3" t="s">
        <v>286</v>
      </c>
      <c r="B112" s="458"/>
      <c r="C112" s="781"/>
    </row>
    <row r="113" spans="1:3">
      <c r="A113" s="3" t="s">
        <v>287</v>
      </c>
      <c r="B113" s="458"/>
      <c r="C113" s="781"/>
    </row>
    <row r="114" spans="1:3">
      <c r="A114" s="3" t="s">
        <v>288</v>
      </c>
      <c r="B114" s="458"/>
      <c r="C114" s="781"/>
    </row>
    <row r="115" spans="1:3">
      <c r="A115" s="3" t="s">
        <v>289</v>
      </c>
      <c r="B115" s="458"/>
      <c r="C115" s="781"/>
    </row>
    <row r="116" spans="1:3">
      <c r="A116" s="3" t="s">
        <v>290</v>
      </c>
      <c r="B116" s="458"/>
      <c r="C116" s="781"/>
    </row>
    <row r="117" spans="1:3">
      <c r="A117" s="3" t="s">
        <v>291</v>
      </c>
      <c r="B117" s="458"/>
      <c r="C117" s="781"/>
    </row>
    <row r="118" spans="1:3">
      <c r="A118" s="3" t="s">
        <v>292</v>
      </c>
      <c r="B118" s="458"/>
      <c r="C118" s="781"/>
    </row>
    <row r="119" spans="1:3">
      <c r="A119" s="3" t="s">
        <v>293</v>
      </c>
      <c r="B119" s="458"/>
      <c r="C119" s="781"/>
    </row>
    <row r="120" spans="1:3">
      <c r="A120" s="32" t="s">
        <v>294</v>
      </c>
      <c r="B120" s="458"/>
      <c r="C120" s="781"/>
    </row>
    <row r="121" spans="1:3">
      <c r="A121" s="32"/>
      <c r="B121" s="782"/>
      <c r="C121" s="782"/>
    </row>
    <row r="122" spans="1:3">
      <c r="A122" s="209" t="s">
        <v>295</v>
      </c>
      <c r="B122" s="782"/>
      <c r="C122" s="783">
        <f>SL!K25</f>
        <v>0</v>
      </c>
    </row>
    <row r="123" spans="1:3">
      <c r="A123" s="488"/>
      <c r="B123" s="786"/>
      <c r="C123" s="786"/>
    </row>
    <row r="124" spans="1:3">
      <c r="A124" s="488" t="s">
        <v>296</v>
      </c>
      <c r="B124" s="786"/>
      <c r="C124" s="787"/>
    </row>
    <row r="125" spans="1:3">
      <c r="A125" s="488" t="s">
        <v>297</v>
      </c>
      <c r="B125" s="786"/>
      <c r="C125" s="787"/>
    </row>
    <row r="126" spans="1:3">
      <c r="A126" s="488" t="s">
        <v>298</v>
      </c>
      <c r="B126" s="782"/>
      <c r="C126" s="788"/>
    </row>
    <row r="127" spans="1:3">
      <c r="A127" s="488" t="s">
        <v>299</v>
      </c>
      <c r="B127" s="782"/>
      <c r="C127" s="788"/>
    </row>
    <row r="128" spans="1:3">
      <c r="A128" s="488" t="s">
        <v>300</v>
      </c>
      <c r="B128" s="782"/>
      <c r="C128" s="788"/>
    </row>
    <row r="129" spans="1:3">
      <c r="A129" s="488" t="s">
        <v>301</v>
      </c>
      <c r="B129" s="782"/>
      <c r="C129" s="788"/>
    </row>
    <row r="130" spans="1:3">
      <c r="A130" t="s">
        <v>302</v>
      </c>
      <c r="B130" s="781"/>
      <c r="C130" s="786"/>
    </row>
    <row r="131" spans="1:3">
      <c r="A131" t="s">
        <v>303</v>
      </c>
      <c r="B131" s="781"/>
      <c r="C131" s="786"/>
    </row>
    <row r="132" spans="1:3">
      <c r="A132" t="s">
        <v>304</v>
      </c>
      <c r="B132" s="782"/>
      <c r="C132" s="788"/>
    </row>
    <row r="133" spans="1:3">
      <c r="A133" t="s">
        <v>165</v>
      </c>
      <c r="B133" s="782"/>
      <c r="C133" s="788"/>
    </row>
    <row r="134" spans="1:3">
      <c r="A134" t="s">
        <v>305</v>
      </c>
      <c r="B134" s="782"/>
      <c r="C134" s="788"/>
    </row>
    <row r="135" spans="1:3">
      <c r="A135" t="s">
        <v>306</v>
      </c>
      <c r="B135" s="781"/>
      <c r="C135" s="788"/>
    </row>
    <row r="136" spans="1:3">
      <c r="A136" t="s">
        <v>307</v>
      </c>
      <c r="B136" s="788"/>
      <c r="C136" s="788"/>
    </row>
    <row r="137" spans="1:3">
      <c r="A137" t="s">
        <v>308</v>
      </c>
      <c r="B137" s="781"/>
      <c r="C137" s="786"/>
    </row>
    <row r="138" spans="1:3">
      <c r="A138" t="s">
        <v>309</v>
      </c>
      <c r="B138" s="781"/>
      <c r="C138" s="786"/>
    </row>
    <row r="139" spans="1:3">
      <c r="A139" t="s">
        <v>310</v>
      </c>
      <c r="B139" s="781"/>
      <c r="C139" s="786"/>
    </row>
    <row r="140" spans="1:3">
      <c r="A140" t="s">
        <v>311</v>
      </c>
      <c r="B140" s="788"/>
      <c r="C140" s="788"/>
    </row>
    <row r="141" spans="1:3">
      <c r="B141" s="782"/>
      <c r="C141" s="786"/>
    </row>
    <row r="142" spans="1:3">
      <c r="A142" t="s">
        <v>312</v>
      </c>
      <c r="B142" s="781"/>
      <c r="C142" s="788"/>
    </row>
    <row r="143" spans="1:3">
      <c r="B143" s="781"/>
      <c r="C143" s="788"/>
    </row>
    <row r="144" spans="1:3">
      <c r="A144" t="s">
        <v>313</v>
      </c>
      <c r="B144" s="781"/>
      <c r="C144" s="782"/>
    </row>
    <row r="145" spans="1:5">
      <c r="B145" s="782"/>
      <c r="C145" s="782"/>
    </row>
    <row r="146" spans="1:5">
      <c r="B146" s="782"/>
      <c r="C146" s="782"/>
    </row>
    <row r="147" spans="1:5">
      <c r="A147" t="s">
        <v>314</v>
      </c>
      <c r="B147" s="782"/>
      <c r="C147" s="781"/>
    </row>
    <row r="148" spans="1:5">
      <c r="A148" t="s">
        <v>315</v>
      </c>
      <c r="B148" s="782"/>
      <c r="C148" s="781"/>
    </row>
    <row r="149" spans="1:5">
      <c r="A149" t="s">
        <v>316</v>
      </c>
      <c r="B149" s="781"/>
      <c r="C149" s="782"/>
    </row>
    <row r="150" spans="1:5">
      <c r="A150" t="s">
        <v>317</v>
      </c>
      <c r="B150" s="782"/>
      <c r="C150" s="781"/>
    </row>
    <row r="151" spans="1:5">
      <c r="A151" t="s">
        <v>318</v>
      </c>
      <c r="B151" s="781"/>
      <c r="C151" s="782"/>
    </row>
    <row r="152" spans="1:5">
      <c r="A152" t="s">
        <v>319</v>
      </c>
      <c r="B152" s="782"/>
      <c r="C152" s="781"/>
    </row>
    <row r="153" spans="1:5">
      <c r="A153" t="s">
        <v>320</v>
      </c>
      <c r="B153" s="782"/>
      <c r="C153" s="781"/>
    </row>
    <row r="154" spans="1:5">
      <c r="A154" t="s">
        <v>321</v>
      </c>
      <c r="B154" s="782"/>
      <c r="C154" s="781"/>
    </row>
    <row r="155" spans="1:5" s="32" customFormat="1">
      <c r="A155" s="488" t="s">
        <v>322</v>
      </c>
      <c r="B155" s="782"/>
      <c r="C155" s="781"/>
      <c r="D155"/>
    </row>
    <row r="156" spans="1:5">
      <c r="A156" t="s">
        <v>323</v>
      </c>
      <c r="B156" s="782"/>
      <c r="C156" s="781"/>
    </row>
    <row r="157" spans="1:5">
      <c r="A157" t="s">
        <v>324</v>
      </c>
      <c r="B157" s="781"/>
      <c r="C157" s="782"/>
    </row>
    <row r="158" spans="1:5">
      <c r="B158" s="782"/>
      <c r="C158" s="782"/>
    </row>
    <row r="159" spans="1:5">
      <c r="A159" t="s">
        <v>325</v>
      </c>
      <c r="B159" s="781"/>
      <c r="C159" s="782"/>
      <c r="E159" s="103"/>
    </row>
    <row r="160" spans="1:5">
      <c r="A160" t="s">
        <v>326</v>
      </c>
      <c r="B160" s="781"/>
      <c r="C160" s="782"/>
      <c r="E160" s="103"/>
    </row>
    <row r="161" spans="1:5">
      <c r="A161" t="s">
        <v>327</v>
      </c>
      <c r="B161" s="781"/>
      <c r="C161" s="782"/>
      <c r="E161" s="103"/>
    </row>
    <row r="162" spans="1:5">
      <c r="A162" t="s">
        <v>328</v>
      </c>
      <c r="B162" s="781"/>
      <c r="C162" s="782"/>
      <c r="E162" s="103"/>
    </row>
    <row r="163" spans="1:5">
      <c r="A163" t="s">
        <v>329</v>
      </c>
      <c r="B163" s="781"/>
      <c r="C163" s="782"/>
    </row>
    <row r="164" spans="1:5">
      <c r="A164" t="s">
        <v>330</v>
      </c>
      <c r="B164" s="781"/>
      <c r="C164" s="782"/>
    </row>
    <row r="165" spans="1:5">
      <c r="A165" t="s">
        <v>331</v>
      </c>
      <c r="B165" s="781"/>
      <c r="C165" s="782"/>
    </row>
    <row r="166" spans="1:5">
      <c r="A166" t="s">
        <v>332</v>
      </c>
      <c r="B166" s="781"/>
      <c r="C166" s="782"/>
      <c r="D166" s="103"/>
      <c r="E166" s="103"/>
    </row>
    <row r="167" spans="1:5">
      <c r="A167" t="s">
        <v>333</v>
      </c>
      <c r="B167" s="781"/>
      <c r="C167" s="782"/>
      <c r="D167" s="103"/>
      <c r="E167" s="103"/>
    </row>
    <row r="168" spans="1:5">
      <c r="A168" t="s">
        <v>334</v>
      </c>
      <c r="B168" s="781"/>
      <c r="C168" s="782"/>
      <c r="D168" s="103"/>
      <c r="E168" s="103"/>
    </row>
    <row r="169" spans="1:5">
      <c r="A169" t="s">
        <v>335</v>
      </c>
      <c r="B169" s="781"/>
      <c r="C169" s="782"/>
      <c r="D169" s="103"/>
      <c r="E169" s="103"/>
    </row>
    <row r="170" spans="1:5">
      <c r="A170" t="s">
        <v>336</v>
      </c>
      <c r="B170" s="781"/>
      <c r="C170" s="782"/>
      <c r="D170" s="103"/>
      <c r="E170" s="103"/>
    </row>
    <row r="171" spans="1:5">
      <c r="A171" t="s">
        <v>337</v>
      </c>
      <c r="B171" s="781"/>
      <c r="C171" s="782"/>
      <c r="D171" s="103"/>
      <c r="E171" s="103"/>
    </row>
    <row r="172" spans="1:5">
      <c r="A172" t="s">
        <v>338</v>
      </c>
      <c r="B172" s="781"/>
      <c r="C172" s="782"/>
      <c r="D172" s="103"/>
      <c r="E172" s="103"/>
    </row>
    <row r="173" spans="1:5">
      <c r="A173" t="s">
        <v>339</v>
      </c>
      <c r="B173" s="781"/>
      <c r="C173" s="782"/>
      <c r="D173" s="103"/>
      <c r="E173" s="103"/>
    </row>
    <row r="174" spans="1:5">
      <c r="A174" t="s">
        <v>340</v>
      </c>
      <c r="B174" s="781"/>
      <c r="C174" s="782"/>
      <c r="D174" s="103"/>
      <c r="E174" s="103"/>
    </row>
    <row r="175" spans="1:5">
      <c r="A175" t="s">
        <v>341</v>
      </c>
      <c r="B175" s="781"/>
      <c r="C175" s="782"/>
      <c r="D175" s="103"/>
      <c r="E175" s="103"/>
    </row>
    <row r="176" spans="1:5">
      <c r="A176" t="s">
        <v>342</v>
      </c>
      <c r="B176" s="781"/>
      <c r="C176" s="782"/>
      <c r="D176" s="103"/>
      <c r="E176" s="103"/>
    </row>
    <row r="177" spans="1:5">
      <c r="A177" t="s">
        <v>343</v>
      </c>
      <c r="B177" s="781"/>
      <c r="C177" s="782"/>
      <c r="D177" s="103"/>
      <c r="E177" s="103"/>
    </row>
    <row r="178" spans="1:5">
      <c r="A178" t="s">
        <v>344</v>
      </c>
      <c r="B178" s="781"/>
      <c r="C178" s="782"/>
      <c r="D178" s="103"/>
      <c r="E178" s="103"/>
    </row>
    <row r="179" spans="1:5">
      <c r="A179" t="s">
        <v>345</v>
      </c>
      <c r="B179" s="781"/>
      <c r="C179" s="782"/>
      <c r="D179" s="103"/>
      <c r="E179" s="103"/>
    </row>
    <row r="180" spans="1:5">
      <c r="A180" t="s">
        <v>346</v>
      </c>
      <c r="B180" s="781"/>
      <c r="C180" s="782"/>
      <c r="D180" s="103"/>
      <c r="E180" s="103"/>
    </row>
    <row r="181" spans="1:5">
      <c r="A181" t="s">
        <v>347</v>
      </c>
      <c r="B181" s="781"/>
      <c r="C181" s="782"/>
      <c r="D181" s="103"/>
      <c r="E181" s="103"/>
    </row>
    <row r="182" spans="1:5">
      <c r="A182" t="s">
        <v>348</v>
      </c>
      <c r="B182" s="781"/>
      <c r="C182" s="782"/>
      <c r="D182" s="103"/>
      <c r="E182" s="103"/>
    </row>
    <row r="183" spans="1:5">
      <c r="A183" t="s">
        <v>349</v>
      </c>
      <c r="B183" s="781"/>
      <c r="C183" s="782"/>
      <c r="D183" s="103"/>
      <c r="E183" s="103"/>
    </row>
    <row r="184" spans="1:5">
      <c r="A184" t="s">
        <v>350</v>
      </c>
      <c r="B184" s="781"/>
      <c r="C184" s="782"/>
      <c r="D184" s="103"/>
      <c r="E184" s="103"/>
    </row>
    <row r="185" spans="1:5">
      <c r="A185" t="s">
        <v>351</v>
      </c>
      <c r="B185" s="781"/>
      <c r="C185" s="782"/>
      <c r="D185" s="103"/>
      <c r="E185" s="103"/>
    </row>
    <row r="186" spans="1:5">
      <c r="A186" t="s">
        <v>352</v>
      </c>
      <c r="B186" s="781"/>
      <c r="C186" s="782"/>
      <c r="D186" s="103"/>
      <c r="E186" s="103"/>
    </row>
    <row r="187" spans="1:5">
      <c r="A187" t="s">
        <v>353</v>
      </c>
      <c r="B187" s="781"/>
      <c r="C187" s="782"/>
      <c r="D187" s="103"/>
      <c r="E187" s="103"/>
    </row>
    <row r="188" spans="1:5">
      <c r="A188" t="s">
        <v>354</v>
      </c>
      <c r="B188" s="781"/>
      <c r="C188" s="782"/>
      <c r="D188" s="103"/>
      <c r="E188" s="103"/>
    </row>
    <row r="189" spans="1:5">
      <c r="A189" t="s">
        <v>355</v>
      </c>
      <c r="B189" s="781"/>
      <c r="C189" s="782"/>
      <c r="D189" s="103"/>
      <c r="E189" s="103"/>
    </row>
    <row r="190" spans="1:5">
      <c r="A190" t="s">
        <v>356</v>
      </c>
      <c r="B190" s="781"/>
      <c r="C190" s="782"/>
      <c r="D190" s="103"/>
      <c r="E190" s="103"/>
    </row>
    <row r="191" spans="1:5">
      <c r="A191" t="s">
        <v>357</v>
      </c>
      <c r="B191" s="781"/>
      <c r="C191" s="782"/>
      <c r="D191" s="103"/>
      <c r="E191" s="103"/>
    </row>
    <row r="192" spans="1:5">
      <c r="A192" t="s">
        <v>358</v>
      </c>
      <c r="B192" s="781"/>
      <c r="C192" s="782"/>
      <c r="D192" s="103"/>
      <c r="E192" s="103"/>
    </row>
    <row r="193" spans="1:5">
      <c r="A193" t="s">
        <v>359</v>
      </c>
      <c r="B193" s="781"/>
      <c r="C193" s="782"/>
      <c r="D193" s="103"/>
      <c r="E193" s="103"/>
    </row>
    <row r="194" spans="1:5">
      <c r="A194" t="s">
        <v>360</v>
      </c>
      <c r="B194" s="781"/>
      <c r="C194" s="782"/>
      <c r="D194" s="103"/>
      <c r="E194" s="103"/>
    </row>
    <row r="195" spans="1:5">
      <c r="A195" t="s">
        <v>361</v>
      </c>
      <c r="B195" s="781"/>
      <c r="C195" s="782"/>
      <c r="D195" s="103"/>
      <c r="E195" s="103"/>
    </row>
    <row r="196" spans="1:5">
      <c r="A196" t="s">
        <v>362</v>
      </c>
      <c r="B196" s="781"/>
      <c r="C196" s="782"/>
      <c r="D196" s="103"/>
      <c r="E196" s="103"/>
    </row>
    <row r="197" spans="1:5">
      <c r="A197" t="s">
        <v>363</v>
      </c>
      <c r="B197" s="781"/>
      <c r="C197" s="782"/>
      <c r="D197" s="103"/>
      <c r="E197" s="103"/>
    </row>
    <row r="198" spans="1:5">
      <c r="A198" t="s">
        <v>364</v>
      </c>
      <c r="B198" s="781"/>
      <c r="C198" s="782"/>
      <c r="D198" s="103"/>
      <c r="E198" s="103"/>
    </row>
    <row r="199" spans="1:5">
      <c r="A199" t="s">
        <v>365</v>
      </c>
      <c r="B199" s="781"/>
      <c r="C199" s="782"/>
      <c r="D199" s="103"/>
      <c r="E199" s="103"/>
    </row>
    <row r="200" spans="1:5">
      <c r="A200" t="s">
        <v>366</v>
      </c>
      <c r="B200" s="781"/>
      <c r="C200" s="782"/>
      <c r="D200" s="103"/>
      <c r="E200" s="103"/>
    </row>
    <row r="201" spans="1:5">
      <c r="A201" t="s">
        <v>367</v>
      </c>
      <c r="B201" s="781"/>
      <c r="C201" s="782"/>
      <c r="D201" s="103"/>
      <c r="E201" s="103"/>
    </row>
    <row r="202" spans="1:5">
      <c r="A202" s="32" t="s">
        <v>368</v>
      </c>
      <c r="B202" s="781"/>
      <c r="C202" s="782"/>
      <c r="D202" s="103"/>
      <c r="E202" s="103"/>
    </row>
    <row r="203" spans="1:5">
      <c r="B203" s="789"/>
      <c r="C203" s="789"/>
    </row>
    <row r="204" spans="1:5">
      <c r="B204" s="790"/>
      <c r="C204" s="790"/>
    </row>
    <row r="205" spans="1:5" ht="13.5" thickBot="1">
      <c r="A205" t="s">
        <v>369</v>
      </c>
      <c r="B205" s="791">
        <f>SUM(B8:B203)</f>
        <v>0</v>
      </c>
      <c r="C205" s="791">
        <f>SUM(C8:C203)-SUM($C$124:$C$125)</f>
        <v>0</v>
      </c>
    </row>
    <row r="206" spans="1:5" ht="13.5" thickTop="1">
      <c r="B206" s="790"/>
      <c r="C206" s="790"/>
    </row>
    <row r="207" spans="1:5">
      <c r="B207" s="790"/>
      <c r="C207" s="790">
        <f>+B205-C205</f>
        <v>0</v>
      </c>
    </row>
  </sheetData>
  <sheetProtection password="9399" sheet="1"/>
  <customSheetViews>
    <customSheetView guid="{504CC784-4394-4648-B9CE-DFC32001696E}" hiddenRows="1" showRuler="0">
      <pane xSplit="1" ySplit="7" topLeftCell="B9" activePane="bottomRight" state="frozen"/>
      <selection pane="bottomRight" activeCell="A24" sqref="A24"/>
      <pageMargins left="0" right="0" top="0" bottom="0" header="0" footer="0"/>
      <printOptions horizontalCentered="1" gridLines="1"/>
      <pageSetup orientation="portrait" r:id="rId1"/>
      <headerFooter alignWithMargins="0">
        <oddFooter>Page &amp;P of &amp;N</oddFooter>
      </headerFooter>
    </customSheetView>
  </customSheetViews>
  <phoneticPr fontId="22" type="noConversion"/>
  <hyperlinks>
    <hyperlink ref="A10" location="'Cash in Bank'!A1" display="'Cash in Bank'!A1" xr:uid="{2805B7F4-8569-4FDF-BFF7-9104279722CE}"/>
    <hyperlink ref="A11" location="'Cash in Bank'!A1" display="'Cash in Bank'!A1" xr:uid="{9511EEFA-0872-4007-B073-7CC3004F113A}"/>
    <hyperlink ref="A122" location="SL!A1" display="Subordinated Liability" xr:uid="{564FD10A-1514-4454-B6ED-B3C43522C5C2}"/>
    <hyperlink ref="A19" location="Receivables!A1" display="Receivable From Customers" xr:uid="{100B074A-43F8-4F88-8FE4-0884C699C597}"/>
    <hyperlink ref="A30" location="SL!A1" display="Secured Demand Notes" xr:uid="{12B750C1-DE83-43AC-8420-40A35F3C6E09}"/>
    <hyperlink ref="A107" location="Others!A98" display="Loans Payable" xr:uid="{7CE1EE0D-D7C4-44B5-929A-618EE3F31F9C}"/>
    <hyperlink ref="A13" location="Placement!A1" display="Placement!A1" xr:uid="{A5D1AE28-546A-48D9-BD4D-6F63E505636D}"/>
    <hyperlink ref="A15" location="'MS-25%'!A1" display="'MS-25%'!A1" xr:uid="{16ABCBF2-CF80-4AD1-BC19-474F59D27C64}"/>
  </hyperlinks>
  <printOptions horizontalCentered="1"/>
  <pageMargins left="0.75" right="0.75" top="0.75" bottom="0.75" header="0.5" footer="0.5"/>
  <pageSetup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6" r:id="rId5" name="Button 28">
              <controlPr defaultSize="0" print="0" autoFill="0" autoPict="0" macro="[0]!rbc">
                <anchor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0</xdr:col>
                    <xdr:colOff>1152525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6" name="Button 29">
              <controlPr defaultSize="0" print="0" autoFill="0" autoPict="0" macro="[0]!navigate">
                <anchor>
                  <from>
                    <xdr:col>0</xdr:col>
                    <xdr:colOff>9525</xdr:colOff>
                    <xdr:row>1</xdr:row>
                    <xdr:rowOff>19050</xdr:rowOff>
                  </from>
                  <to>
                    <xdr:col>0</xdr:col>
                    <xdr:colOff>1152525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90D2-4571-4049-847F-D4505EB1F871}">
  <sheetPr codeName="Sheet1">
    <pageSetUpPr fitToPage="1"/>
  </sheetPr>
  <dimension ref="A1:BE30"/>
  <sheetViews>
    <sheetView showGridLines="0" zoomScaleNormal="100" zoomScaleSheetLayoutView="100" workbookViewId="0">
      <pane xSplit="6" ySplit="9" topLeftCell="G10" activePane="bottomRight" state="frozen"/>
      <selection pane="bottomRight" activeCell="O13" sqref="O13"/>
      <selection pane="bottomLeft" activeCell="G2" sqref="G2"/>
      <selection pane="topRight" activeCell="G2" sqref="G2"/>
    </sheetView>
  </sheetViews>
  <sheetFormatPr defaultColWidth="9.28515625" defaultRowHeight="12.75"/>
  <cols>
    <col min="1" max="1" width="3" style="167" bestFit="1" customWidth="1"/>
    <col min="2" max="2" width="11.42578125" style="169" bestFit="1" customWidth="1"/>
    <col min="3" max="4" width="10" style="167" customWidth="1"/>
    <col min="5" max="5" width="5.28515625" style="167" bestFit="1" customWidth="1"/>
    <col min="6" max="6" width="11.28515625" style="167" customWidth="1"/>
    <col min="7" max="7" width="18.7109375" style="167" customWidth="1"/>
    <col min="8" max="8" width="13.42578125" style="167" customWidth="1"/>
    <col min="9" max="10" width="12.7109375" style="167" customWidth="1"/>
    <col min="11" max="11" width="13.5703125" style="167" customWidth="1"/>
    <col min="12" max="12" width="8.28515625" style="167" customWidth="1"/>
    <col min="13" max="13" width="10.42578125" style="167" customWidth="1"/>
    <col min="14" max="14" width="12.7109375" style="167" bestFit="1" customWidth="1"/>
    <col min="15" max="15" width="12.7109375" style="167" customWidth="1"/>
    <col min="16" max="16" width="16" style="167" bestFit="1" customWidth="1"/>
    <col min="17" max="17" width="12.7109375" style="167" customWidth="1"/>
    <col min="18" max="18" width="21.7109375" style="167" customWidth="1"/>
    <col min="19" max="19" width="3.7109375" style="167" customWidth="1"/>
    <col min="20" max="20" width="10.7109375" style="167" customWidth="1"/>
    <col min="21" max="21" width="10.28515625" style="167" hidden="1" customWidth="1"/>
    <col min="22" max="22" width="0" style="167" hidden="1" customWidth="1"/>
    <col min="23" max="23" width="10.28515625" style="167" customWidth="1"/>
    <col min="24" max="16384" width="9.28515625" style="167"/>
  </cols>
  <sheetData>
    <row r="1" spans="1:57" ht="15.75">
      <c r="B1" s="168" t="str">
        <f>RBC!A1</f>
        <v>NAME OF THE TRADING PARTICIPANT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57" ht="15.75">
      <c r="B2" s="168" t="s">
        <v>370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</row>
    <row r="3" spans="1:57" ht="15.75">
      <c r="B3" s="500" t="str">
        <f>RBC!A3</f>
        <v>mm/dd/yyyy</v>
      </c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</row>
    <row r="4" spans="1:57">
      <c r="N4" s="646"/>
    </row>
    <row r="5" spans="1:57">
      <c r="B5" s="183" t="str">
        <f>IF('trial balance'!C122&lt;&gt;SL!K25,"Warning!!!  Does not tie up with SL per trial balance.  Pls check.","")</f>
        <v/>
      </c>
    </row>
    <row r="6" spans="1:57" s="170" customFormat="1" ht="12.75" customHeight="1">
      <c r="B6" s="389" t="s">
        <v>371</v>
      </c>
      <c r="C6" s="867" t="s">
        <v>132</v>
      </c>
      <c r="D6" s="867" t="s">
        <v>133</v>
      </c>
      <c r="E6" s="867" t="s">
        <v>372</v>
      </c>
      <c r="F6" s="331"/>
      <c r="G6" s="869" t="s">
        <v>373</v>
      </c>
      <c r="H6" s="390" t="s">
        <v>374</v>
      </c>
      <c r="I6" s="391" t="s">
        <v>375</v>
      </c>
      <c r="J6" s="391" t="s">
        <v>376</v>
      </c>
      <c r="K6" s="864" t="s">
        <v>377</v>
      </c>
      <c r="L6" s="861" t="s">
        <v>378</v>
      </c>
      <c r="M6" s="342"/>
      <c r="N6" s="392" t="s">
        <v>379</v>
      </c>
      <c r="O6" s="392" t="s">
        <v>380</v>
      </c>
      <c r="P6" s="392" t="s">
        <v>381</v>
      </c>
      <c r="Q6" s="392"/>
    </row>
    <row r="7" spans="1:57" s="171" customFormat="1">
      <c r="B7" s="393" t="s">
        <v>382</v>
      </c>
      <c r="C7" s="868"/>
      <c r="D7" s="868"/>
      <c r="E7" s="868"/>
      <c r="F7" s="332" t="s">
        <v>383</v>
      </c>
      <c r="G7" s="870"/>
      <c r="H7" s="394" t="s">
        <v>384</v>
      </c>
      <c r="I7" s="395"/>
      <c r="J7" s="395"/>
      <c r="K7" s="865"/>
      <c r="L7" s="862"/>
      <c r="M7" s="329" t="s">
        <v>385</v>
      </c>
      <c r="N7" s="396" t="s">
        <v>386</v>
      </c>
      <c r="O7" s="396" t="s">
        <v>135</v>
      </c>
      <c r="P7" s="396" t="s">
        <v>387</v>
      </c>
      <c r="Q7" s="396" t="s">
        <v>388</v>
      </c>
      <c r="T7" s="459" t="s">
        <v>389</v>
      </c>
      <c r="U7" s="218" t="s">
        <v>174</v>
      </c>
      <c r="V7" s="218"/>
    </row>
    <row r="8" spans="1:57" s="171" customFormat="1">
      <c r="B8" s="393"/>
      <c r="C8" s="868"/>
      <c r="D8" s="868"/>
      <c r="E8" s="868"/>
      <c r="F8" s="332" t="s">
        <v>390</v>
      </c>
      <c r="G8" s="870"/>
      <c r="H8" s="394" t="s">
        <v>391</v>
      </c>
      <c r="I8" s="395"/>
      <c r="J8" s="395"/>
      <c r="K8" s="865"/>
      <c r="L8" s="862"/>
      <c r="M8" s="329" t="s">
        <v>392</v>
      </c>
      <c r="N8" s="396" t="s">
        <v>393</v>
      </c>
      <c r="O8" s="396" t="s">
        <v>394</v>
      </c>
      <c r="P8" s="396" t="s">
        <v>395</v>
      </c>
      <c r="Q8" s="396" t="s">
        <v>396</v>
      </c>
      <c r="T8" s="645" t="s">
        <v>383</v>
      </c>
      <c r="U8" s="218" t="s">
        <v>397</v>
      </c>
      <c r="V8" s="218"/>
    </row>
    <row r="9" spans="1:57" s="171" customFormat="1">
      <c r="B9" s="397"/>
      <c r="C9" s="398"/>
      <c r="D9" s="398"/>
      <c r="E9" s="398"/>
      <c r="F9" s="399"/>
      <c r="G9" s="399"/>
      <c r="H9" s="400"/>
      <c r="I9" s="401"/>
      <c r="J9" s="401"/>
      <c r="K9" s="866"/>
      <c r="L9" s="863"/>
      <c r="M9" s="330"/>
      <c r="N9" s="402"/>
      <c r="O9" s="402" t="s">
        <v>398</v>
      </c>
      <c r="P9" s="403"/>
      <c r="Q9" s="403"/>
      <c r="T9" s="645" t="s">
        <v>372</v>
      </c>
      <c r="U9" s="170" t="s">
        <v>372</v>
      </c>
      <c r="V9" s="170" t="s">
        <v>183</v>
      </c>
    </row>
    <row r="10" spans="1:57" s="173" customFormat="1" ht="14.25" customHeight="1">
      <c r="A10" s="172">
        <v>1</v>
      </c>
      <c r="B10" s="490"/>
      <c r="C10" s="642"/>
      <c r="D10" s="643"/>
      <c r="E10" s="731">
        <f>(D10-C10)/365</f>
        <v>0</v>
      </c>
      <c r="F10" s="493"/>
      <c r="G10" s="404"/>
      <c r="H10" s="491"/>
      <c r="I10" s="644"/>
      <c r="J10" s="640"/>
      <c r="K10" s="641"/>
      <c r="L10" s="499"/>
      <c r="M10" s="494"/>
      <c r="N10" s="404"/>
      <c r="O10" s="404"/>
      <c r="P10" s="405">
        <f>IF(V10=2,(O10-K10),0)</f>
        <v>0</v>
      </c>
      <c r="Q10" s="647">
        <f>IF(K10&lt;=0,0,IF(V10=1,(VLOOKUP($U10,SLHaircut,3,FALSE)*K10),IF(V10=2,(VLOOKUP($U10,SLHaircut,3,FALSE)*O10),0)))</f>
        <v>0</v>
      </c>
      <c r="R10" s="276" t="str">
        <f>IF(AND(K10&gt;0,V10=3),"Indicate Type of Loan",IF(O10&gt;N10,"Recheck Market Value.",IF(AND(K10&gt;0,U10=5),"Recheck remaining term."," ")))</f>
        <v xml:space="preserve"> </v>
      </c>
      <c r="S10" s="276"/>
      <c r="T10" s="460" t="e">
        <f>IF(((SL!$D10-'trial balance'!$A$3)/365)&lt;=0,0,(SL!$D10-'trial balance'!$A$3)/365)</f>
        <v>#VALUE!</v>
      </c>
      <c r="U10" s="216">
        <v>5</v>
      </c>
      <c r="V10" s="216">
        <v>2</v>
      </c>
      <c r="W10" s="170" t="e">
        <f>VLOOKUP(T10,Data!$F$7:$G$11,2,TRUE)</f>
        <v>#VALUE!</v>
      </c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170"/>
      <c r="BB10" s="170"/>
      <c r="BC10" s="170"/>
      <c r="BD10" s="170"/>
      <c r="BE10" s="170"/>
    </row>
    <row r="11" spans="1:57" s="173" customFormat="1" ht="14.25" customHeight="1">
      <c r="A11" s="172">
        <v>2</v>
      </c>
      <c r="B11" s="490"/>
      <c r="C11" s="642"/>
      <c r="D11" s="643"/>
      <c r="E11" s="731">
        <f t="shared" ref="E11:E24" si="0">(D11-C11)/365</f>
        <v>0</v>
      </c>
      <c r="F11" s="493"/>
      <c r="G11" s="404"/>
      <c r="H11" s="491"/>
      <c r="I11" s="644"/>
      <c r="J11" s="640"/>
      <c r="K11" s="641"/>
      <c r="L11" s="499"/>
      <c r="M11" s="494"/>
      <c r="N11" s="404"/>
      <c r="O11" s="404"/>
      <c r="P11" s="405">
        <f t="shared" ref="P11:P24" si="1">IF(V11=2,(O11-K11),0)</f>
        <v>0</v>
      </c>
      <c r="Q11" s="647">
        <f t="shared" ref="Q11:Q24" si="2">IF(K11&lt;=0,0,IF(V11=1,(VLOOKUP($U11,SLHaircut,3,FALSE)*K11),IF(V11=2,(VLOOKUP($U11,SLHaircut,3,FALSE)*O11),0)))</f>
        <v>0</v>
      </c>
      <c r="R11" s="276" t="str">
        <f t="shared" ref="R11:R24" si="3">IF(AND(K11&gt;0,V11=3),"Indicate Type of Loan",IF(O11&gt;N11,"Recheck Market Value.",IF(AND(K11&gt;0,U11=5),"Recheck remaining term."," ")))</f>
        <v xml:space="preserve"> </v>
      </c>
      <c r="S11" s="276"/>
      <c r="T11" s="460" t="e">
        <f>IF(((SL!$D11-'trial balance'!$A$3)/365)&lt;=0,0,(SL!$D11-'trial balance'!$A$3)/365)</f>
        <v>#VALUE!</v>
      </c>
      <c r="U11" s="216">
        <v>5</v>
      </c>
      <c r="V11" s="216">
        <v>1</v>
      </c>
      <c r="W11" s="170" t="e">
        <f>VLOOKUP(T11,Data!$F$7:$G$11,2,TRUE)</f>
        <v>#VALUE!</v>
      </c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</row>
    <row r="12" spans="1:57" s="173" customFormat="1" ht="14.25" customHeight="1">
      <c r="A12" s="172">
        <v>3</v>
      </c>
      <c r="B12" s="492"/>
      <c r="C12" s="643"/>
      <c r="D12" s="643"/>
      <c r="E12" s="731">
        <f t="shared" si="0"/>
        <v>0</v>
      </c>
      <c r="F12" s="493"/>
      <c r="G12" s="404"/>
      <c r="H12" s="404"/>
      <c r="I12" s="644"/>
      <c r="J12" s="640"/>
      <c r="K12" s="641"/>
      <c r="L12" s="499"/>
      <c r="M12" s="494"/>
      <c r="N12" s="404"/>
      <c r="O12" s="404"/>
      <c r="P12" s="405">
        <f t="shared" si="1"/>
        <v>0</v>
      </c>
      <c r="Q12" s="647">
        <f t="shared" si="2"/>
        <v>0</v>
      </c>
      <c r="R12" s="276" t="str">
        <f t="shared" si="3"/>
        <v xml:space="preserve"> </v>
      </c>
      <c r="S12" s="276"/>
      <c r="T12" s="460" t="e">
        <f>IF(((SL!$D12-'trial balance'!$A$3)/365)&lt;=0,0,(SL!$D12-'trial balance'!$A$3)/365)</f>
        <v>#VALUE!</v>
      </c>
      <c r="U12" s="216">
        <v>5</v>
      </c>
      <c r="V12" s="216">
        <v>1</v>
      </c>
      <c r="W12" s="170" t="e">
        <f>VLOOKUP(T12,Data!$F$7:$G$11,2,TRUE)</f>
        <v>#VALUE!</v>
      </c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</row>
    <row r="13" spans="1:57" s="173" customFormat="1" ht="15" customHeight="1">
      <c r="A13" s="172">
        <v>4</v>
      </c>
      <c r="B13" s="492"/>
      <c r="C13" s="643"/>
      <c r="D13" s="643"/>
      <c r="E13" s="731">
        <f t="shared" si="0"/>
        <v>0</v>
      </c>
      <c r="F13" s="493"/>
      <c r="G13" s="404"/>
      <c r="H13" s="404"/>
      <c r="I13" s="644"/>
      <c r="J13" s="640"/>
      <c r="K13" s="641"/>
      <c r="L13" s="499"/>
      <c r="M13" s="494"/>
      <c r="N13" s="404"/>
      <c r="O13" s="404"/>
      <c r="P13" s="405">
        <f t="shared" si="1"/>
        <v>0</v>
      </c>
      <c r="Q13" s="647">
        <f t="shared" si="2"/>
        <v>0</v>
      </c>
      <c r="R13" s="276" t="str">
        <f t="shared" si="3"/>
        <v xml:space="preserve"> </v>
      </c>
      <c r="S13" s="276"/>
      <c r="T13" s="460" t="e">
        <f>IF(((SL!$D13-'trial balance'!$A$3)/365)&lt;=0,0,(SL!$D13-'trial balance'!$A$3)/365)</f>
        <v>#VALUE!</v>
      </c>
      <c r="U13" s="216">
        <v>5</v>
      </c>
      <c r="V13" s="216">
        <v>1</v>
      </c>
      <c r="W13" s="170" t="e">
        <f>VLOOKUP(T13,Data!$F$7:$G$11,2,TRUE)</f>
        <v>#VALUE!</v>
      </c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</row>
    <row r="14" spans="1:57" s="173" customFormat="1" ht="15" customHeight="1">
      <c r="A14" s="172">
        <v>5</v>
      </c>
      <c r="B14" s="492"/>
      <c r="C14" s="643"/>
      <c r="D14" s="643"/>
      <c r="E14" s="731">
        <f t="shared" si="0"/>
        <v>0</v>
      </c>
      <c r="F14" s="493"/>
      <c r="G14" s="404"/>
      <c r="H14" s="404"/>
      <c r="I14" s="644"/>
      <c r="J14" s="640"/>
      <c r="K14" s="641"/>
      <c r="L14" s="499"/>
      <c r="M14" s="494"/>
      <c r="N14" s="404"/>
      <c r="O14" s="404"/>
      <c r="P14" s="405">
        <f t="shared" si="1"/>
        <v>0</v>
      </c>
      <c r="Q14" s="647">
        <f t="shared" si="2"/>
        <v>0</v>
      </c>
      <c r="R14" s="276" t="str">
        <f t="shared" si="3"/>
        <v xml:space="preserve"> </v>
      </c>
      <c r="S14" s="276"/>
      <c r="T14" s="460" t="e">
        <f>IF(((SL!$D14-'trial balance'!$A$3)/365)&lt;=0,0,(SL!$D14-'trial balance'!$A$3)/365)</f>
        <v>#VALUE!</v>
      </c>
      <c r="U14" s="216">
        <v>5</v>
      </c>
      <c r="V14" s="216">
        <v>1</v>
      </c>
      <c r="W14" s="170" t="e">
        <f>VLOOKUP(T14,Data!$F$7:$G$11,2,TRUE)</f>
        <v>#VALUE!</v>
      </c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</row>
    <row r="15" spans="1:57" s="173" customFormat="1" ht="15" customHeight="1">
      <c r="A15" s="172">
        <v>6</v>
      </c>
      <c r="B15" s="492"/>
      <c r="C15" s="643"/>
      <c r="D15" s="643"/>
      <c r="E15" s="731">
        <f t="shared" si="0"/>
        <v>0</v>
      </c>
      <c r="F15" s="493"/>
      <c r="G15" s="404"/>
      <c r="H15" s="404"/>
      <c r="I15" s="644"/>
      <c r="J15" s="640"/>
      <c r="K15" s="641"/>
      <c r="L15" s="499"/>
      <c r="M15" s="494"/>
      <c r="N15" s="404"/>
      <c r="O15" s="404"/>
      <c r="P15" s="405">
        <f t="shared" si="1"/>
        <v>0</v>
      </c>
      <c r="Q15" s="647">
        <f t="shared" si="2"/>
        <v>0</v>
      </c>
      <c r="R15" s="276" t="str">
        <f t="shared" si="3"/>
        <v xml:space="preserve"> </v>
      </c>
      <c r="S15" s="276"/>
      <c r="T15" s="460" t="e">
        <f>IF(((SL!$D15-'trial balance'!$A$3)/365)&lt;=0,0,(SL!$D15-'trial balance'!$A$3)/365)</f>
        <v>#VALUE!</v>
      </c>
      <c r="U15" s="216">
        <v>5</v>
      </c>
      <c r="V15" s="216">
        <v>1</v>
      </c>
      <c r="W15" s="170" t="e">
        <f>VLOOKUP(T15,Data!$F$7:$G$11,2,TRUE)</f>
        <v>#VALUE!</v>
      </c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</row>
    <row r="16" spans="1:57" s="173" customFormat="1" ht="15" customHeight="1">
      <c r="A16" s="172">
        <v>7</v>
      </c>
      <c r="B16" s="492"/>
      <c r="C16" s="643"/>
      <c r="D16" s="643"/>
      <c r="E16" s="731">
        <f t="shared" si="0"/>
        <v>0</v>
      </c>
      <c r="F16" s="493"/>
      <c r="G16" s="404"/>
      <c r="H16" s="404"/>
      <c r="I16" s="644"/>
      <c r="J16" s="640"/>
      <c r="K16" s="641"/>
      <c r="L16" s="499"/>
      <c r="M16" s="494"/>
      <c r="N16" s="404"/>
      <c r="O16" s="404"/>
      <c r="P16" s="405">
        <f t="shared" si="1"/>
        <v>0</v>
      </c>
      <c r="Q16" s="647">
        <f t="shared" si="2"/>
        <v>0</v>
      </c>
      <c r="R16" s="276" t="str">
        <f t="shared" si="3"/>
        <v xml:space="preserve"> </v>
      </c>
      <c r="S16" s="276"/>
      <c r="T16" s="460" t="e">
        <f>IF(((SL!$D16-'trial balance'!$A$3)/365)&lt;=0,0,(SL!$D16-'trial balance'!$A$3)/365)</f>
        <v>#VALUE!</v>
      </c>
      <c r="U16" s="216">
        <v>5</v>
      </c>
      <c r="V16" s="216">
        <v>1</v>
      </c>
      <c r="W16" s="170" t="e">
        <f>VLOOKUP(T16,Data!$F$7:$G$11,2,TRUE)</f>
        <v>#VALUE!</v>
      </c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</row>
    <row r="17" spans="1:57" s="173" customFormat="1" ht="15" customHeight="1">
      <c r="A17" s="172">
        <v>8</v>
      </c>
      <c r="B17" s="492"/>
      <c r="C17" s="643"/>
      <c r="D17" s="643"/>
      <c r="E17" s="731">
        <f t="shared" si="0"/>
        <v>0</v>
      </c>
      <c r="F17" s="493"/>
      <c r="G17" s="404"/>
      <c r="H17" s="404"/>
      <c r="I17" s="644"/>
      <c r="J17" s="640"/>
      <c r="K17" s="641"/>
      <c r="L17" s="499"/>
      <c r="M17" s="494"/>
      <c r="N17" s="404"/>
      <c r="O17" s="404"/>
      <c r="P17" s="405">
        <f t="shared" si="1"/>
        <v>0</v>
      </c>
      <c r="Q17" s="647">
        <f t="shared" si="2"/>
        <v>0</v>
      </c>
      <c r="R17" s="276" t="str">
        <f t="shared" si="3"/>
        <v xml:space="preserve"> </v>
      </c>
      <c r="S17" s="276"/>
      <c r="T17" s="460" t="e">
        <f>IF(((SL!$D17-'trial balance'!$A$3)/365)&lt;=0,0,(SL!$D17-'trial balance'!$A$3)/365)</f>
        <v>#VALUE!</v>
      </c>
      <c r="U17" s="216">
        <v>5</v>
      </c>
      <c r="V17" s="216">
        <v>1</v>
      </c>
      <c r="W17" s="170" t="e">
        <f>VLOOKUP(T17,Data!$F$7:$G$11,2,TRUE)</f>
        <v>#VALUE!</v>
      </c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  <c r="BA17" s="170"/>
      <c r="BB17" s="170"/>
      <c r="BC17" s="170"/>
      <c r="BD17" s="170"/>
      <c r="BE17" s="170"/>
    </row>
    <row r="18" spans="1:57" s="173" customFormat="1" ht="15" customHeight="1">
      <c r="A18" s="172">
        <v>9</v>
      </c>
      <c r="B18" s="492"/>
      <c r="C18" s="643"/>
      <c r="D18" s="643"/>
      <c r="E18" s="731">
        <f t="shared" si="0"/>
        <v>0</v>
      </c>
      <c r="F18" s="493"/>
      <c r="G18" s="404"/>
      <c r="H18" s="404"/>
      <c r="I18" s="644"/>
      <c r="J18" s="640"/>
      <c r="K18" s="641"/>
      <c r="L18" s="499"/>
      <c r="M18" s="494"/>
      <c r="N18" s="404"/>
      <c r="O18" s="404"/>
      <c r="P18" s="405">
        <f t="shared" si="1"/>
        <v>0</v>
      </c>
      <c r="Q18" s="647">
        <f t="shared" si="2"/>
        <v>0</v>
      </c>
      <c r="R18" s="276" t="str">
        <f t="shared" si="3"/>
        <v xml:space="preserve"> </v>
      </c>
      <c r="S18" s="276"/>
      <c r="T18" s="460" t="e">
        <f>IF(((SL!$D18-'trial balance'!$A$3)/365)&lt;=0,0,(SL!$D18-'trial balance'!$A$3)/365)</f>
        <v>#VALUE!</v>
      </c>
      <c r="U18" s="216">
        <v>5</v>
      </c>
      <c r="V18" s="216">
        <v>1</v>
      </c>
      <c r="W18" s="170" t="e">
        <f>VLOOKUP(T18,Data!$F$7:$G$11,2,TRUE)</f>
        <v>#VALUE!</v>
      </c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</row>
    <row r="19" spans="1:57" s="173" customFormat="1" ht="15" customHeight="1">
      <c r="A19" s="172">
        <v>10</v>
      </c>
      <c r="B19" s="492"/>
      <c r="C19" s="643"/>
      <c r="D19" s="643"/>
      <c r="E19" s="731">
        <f t="shared" si="0"/>
        <v>0</v>
      </c>
      <c r="F19" s="493"/>
      <c r="G19" s="404"/>
      <c r="H19" s="404"/>
      <c r="I19" s="644"/>
      <c r="J19" s="640"/>
      <c r="K19" s="641"/>
      <c r="L19" s="499"/>
      <c r="M19" s="494"/>
      <c r="N19" s="404"/>
      <c r="O19" s="404"/>
      <c r="P19" s="405">
        <f t="shared" si="1"/>
        <v>0</v>
      </c>
      <c r="Q19" s="647">
        <f t="shared" si="2"/>
        <v>0</v>
      </c>
      <c r="R19" s="276" t="str">
        <f t="shared" si="3"/>
        <v xml:space="preserve"> </v>
      </c>
      <c r="S19" s="276"/>
      <c r="T19" s="460" t="e">
        <f>IF(((SL!$D19-'trial balance'!$A$3)/365)&lt;=0,0,(SL!$D19-'trial balance'!$A$3)/365)</f>
        <v>#VALUE!</v>
      </c>
      <c r="U19" s="216">
        <v>5</v>
      </c>
      <c r="V19" s="216">
        <v>1</v>
      </c>
      <c r="W19" s="170" t="e">
        <f>VLOOKUP(T19,Data!$F$7:$G$11,2,TRUE)</f>
        <v>#VALUE!</v>
      </c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</row>
    <row r="20" spans="1:57" s="173" customFormat="1" ht="15" customHeight="1">
      <c r="A20" s="172">
        <v>11</v>
      </c>
      <c r="B20" s="492"/>
      <c r="C20" s="643"/>
      <c r="D20" s="643"/>
      <c r="E20" s="731">
        <f t="shared" si="0"/>
        <v>0</v>
      </c>
      <c r="F20" s="493"/>
      <c r="G20" s="404"/>
      <c r="H20" s="404"/>
      <c r="I20" s="644"/>
      <c r="J20" s="640"/>
      <c r="K20" s="641"/>
      <c r="L20" s="499"/>
      <c r="M20" s="494"/>
      <c r="N20" s="404"/>
      <c r="O20" s="404"/>
      <c r="P20" s="405">
        <f t="shared" si="1"/>
        <v>0</v>
      </c>
      <c r="Q20" s="647">
        <f t="shared" si="2"/>
        <v>0</v>
      </c>
      <c r="R20" s="276" t="str">
        <f t="shared" si="3"/>
        <v xml:space="preserve"> </v>
      </c>
      <c r="S20" s="276"/>
      <c r="T20" s="460" t="e">
        <f>IF(((SL!$D20-'trial balance'!$A$3)/365)&lt;=0,0,(SL!$D20-'trial balance'!$A$3)/365)</f>
        <v>#VALUE!</v>
      </c>
      <c r="U20" s="216">
        <v>5</v>
      </c>
      <c r="V20" s="216">
        <v>1</v>
      </c>
      <c r="W20" s="170" t="e">
        <f>VLOOKUP(T20,Data!$F$7:$G$11,2,TRUE)</f>
        <v>#VALUE!</v>
      </c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</row>
    <row r="21" spans="1:57" s="173" customFormat="1" ht="15" customHeight="1">
      <c r="A21" s="172">
        <v>12</v>
      </c>
      <c r="B21" s="492"/>
      <c r="C21" s="643"/>
      <c r="D21" s="643"/>
      <c r="E21" s="731">
        <f t="shared" si="0"/>
        <v>0</v>
      </c>
      <c r="F21" s="493"/>
      <c r="G21" s="404"/>
      <c r="H21" s="404"/>
      <c r="I21" s="644"/>
      <c r="J21" s="640"/>
      <c r="K21" s="641"/>
      <c r="L21" s="499"/>
      <c r="M21" s="494"/>
      <c r="N21" s="404"/>
      <c r="O21" s="404"/>
      <c r="P21" s="405">
        <f t="shared" si="1"/>
        <v>0</v>
      </c>
      <c r="Q21" s="647">
        <f t="shared" si="2"/>
        <v>0</v>
      </c>
      <c r="R21" s="276" t="str">
        <f t="shared" si="3"/>
        <v xml:space="preserve"> </v>
      </c>
      <c r="S21" s="276"/>
      <c r="T21" s="460" t="e">
        <f>IF(((SL!$D21-'trial balance'!$A$3)/365)&lt;=0,0,(SL!$D21-'trial balance'!$A$3)/365)</f>
        <v>#VALUE!</v>
      </c>
      <c r="U21" s="216">
        <v>5</v>
      </c>
      <c r="V21" s="216">
        <v>2</v>
      </c>
      <c r="W21" s="170" t="e">
        <f>VLOOKUP(T21,Data!$F$7:$G$11,2,TRUE)</f>
        <v>#VALUE!</v>
      </c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</row>
    <row r="22" spans="1:57" s="173" customFormat="1" ht="15" customHeight="1">
      <c r="A22" s="172">
        <v>13</v>
      </c>
      <c r="B22" s="492"/>
      <c r="C22" s="643"/>
      <c r="D22" s="643"/>
      <c r="E22" s="731">
        <f t="shared" si="0"/>
        <v>0</v>
      </c>
      <c r="F22" s="493"/>
      <c r="G22" s="404"/>
      <c r="H22" s="404"/>
      <c r="I22" s="644"/>
      <c r="J22" s="640"/>
      <c r="K22" s="641"/>
      <c r="L22" s="499"/>
      <c r="M22" s="494"/>
      <c r="N22" s="404"/>
      <c r="O22" s="404"/>
      <c r="P22" s="405">
        <f t="shared" si="1"/>
        <v>0</v>
      </c>
      <c r="Q22" s="647">
        <f t="shared" si="2"/>
        <v>0</v>
      </c>
      <c r="R22" s="276" t="str">
        <f t="shared" si="3"/>
        <v xml:space="preserve"> </v>
      </c>
      <c r="S22" s="276"/>
      <c r="T22" s="460" t="e">
        <f>IF(((SL!$D22-'trial balance'!$A$3)/365)&lt;=0,0,(SL!$D22-'trial balance'!$A$3)/365)</f>
        <v>#VALUE!</v>
      </c>
      <c r="U22" s="216">
        <v>5</v>
      </c>
      <c r="V22" s="216">
        <v>1</v>
      </c>
      <c r="W22" s="170" t="e">
        <f>VLOOKUP(T22,Data!$F$7:$G$11,2,TRUE)</f>
        <v>#VALUE!</v>
      </c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170"/>
      <c r="BB22" s="170"/>
      <c r="BC22" s="170"/>
      <c r="BD22" s="170"/>
      <c r="BE22" s="170"/>
    </row>
    <row r="23" spans="1:57" s="173" customFormat="1" ht="15" customHeight="1">
      <c r="A23" s="172">
        <v>14</v>
      </c>
      <c r="B23" s="492"/>
      <c r="C23" s="643"/>
      <c r="D23" s="643"/>
      <c r="E23" s="731">
        <f t="shared" si="0"/>
        <v>0</v>
      </c>
      <c r="F23" s="493"/>
      <c r="G23" s="404"/>
      <c r="H23" s="404"/>
      <c r="I23" s="644"/>
      <c r="J23" s="640"/>
      <c r="K23" s="641"/>
      <c r="L23" s="499"/>
      <c r="M23" s="494"/>
      <c r="N23" s="404"/>
      <c r="O23" s="404"/>
      <c r="P23" s="405">
        <f t="shared" si="1"/>
        <v>0</v>
      </c>
      <c r="Q23" s="647">
        <f t="shared" si="2"/>
        <v>0</v>
      </c>
      <c r="R23" s="276" t="str">
        <f t="shared" si="3"/>
        <v xml:space="preserve"> </v>
      </c>
      <c r="S23" s="276"/>
      <c r="T23" s="460" t="e">
        <f>IF(((SL!$D23-'trial balance'!$A$3)/365)&lt;=0,0,(SL!$D23-'trial balance'!$A$3)/365)</f>
        <v>#VALUE!</v>
      </c>
      <c r="U23" s="216">
        <v>5</v>
      </c>
      <c r="V23" s="216">
        <v>1</v>
      </c>
      <c r="W23" s="170" t="e">
        <f>VLOOKUP(T23,Data!$F$7:$G$11,2,TRUE)</f>
        <v>#VALUE!</v>
      </c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</row>
    <row r="24" spans="1:57" s="173" customFormat="1" ht="15" customHeight="1">
      <c r="A24" s="172">
        <v>15</v>
      </c>
      <c r="B24" s="492"/>
      <c r="C24" s="643"/>
      <c r="D24" s="643"/>
      <c r="E24" s="731">
        <f t="shared" si="0"/>
        <v>0</v>
      </c>
      <c r="F24" s="493"/>
      <c r="G24" s="404"/>
      <c r="H24" s="404"/>
      <c r="I24" s="644"/>
      <c r="J24" s="640"/>
      <c r="K24" s="641"/>
      <c r="L24" s="499"/>
      <c r="M24" s="494"/>
      <c r="N24" s="404"/>
      <c r="O24" s="404"/>
      <c r="P24" s="405">
        <f t="shared" si="1"/>
        <v>0</v>
      </c>
      <c r="Q24" s="647">
        <f t="shared" si="2"/>
        <v>0</v>
      </c>
      <c r="R24" s="276" t="str">
        <f t="shared" si="3"/>
        <v xml:space="preserve"> </v>
      </c>
      <c r="S24" s="276"/>
      <c r="T24" s="460" t="e">
        <f>IF(((SL!$D24-'trial balance'!$A$3)/365)&lt;=0,0,(SL!$D24-'trial balance'!$A$3)/365)</f>
        <v>#VALUE!</v>
      </c>
      <c r="U24" s="216">
        <v>5</v>
      </c>
      <c r="V24" s="216">
        <v>1</v>
      </c>
      <c r="W24" s="170" t="e">
        <f>VLOOKUP(T24,Data!$F$7:$G$11,2,TRUE)</f>
        <v>#VALUE!</v>
      </c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170"/>
      <c r="BB24" s="170"/>
      <c r="BC24" s="170"/>
      <c r="BD24" s="170"/>
      <c r="BE24" s="170"/>
    </row>
    <row r="25" spans="1:57" s="173" customFormat="1" ht="13.5" thickBot="1">
      <c r="A25" s="172"/>
      <c r="B25" s="495" t="s">
        <v>369</v>
      </c>
      <c r="C25" s="496"/>
      <c r="D25" s="496"/>
      <c r="E25" s="497"/>
      <c r="F25" s="497"/>
      <c r="G25" s="407"/>
      <c r="H25" s="407"/>
      <c r="I25" s="408"/>
      <c r="J25" s="408"/>
      <c r="K25" s="406">
        <f>SUM(K10:K24)</f>
        <v>0</v>
      </c>
      <c r="L25" s="409"/>
      <c r="M25" s="498"/>
      <c r="N25" s="406">
        <f>SUM(N10:N24)</f>
        <v>0</v>
      </c>
      <c r="O25" s="406">
        <f>SUM(O10:O24)</f>
        <v>0</v>
      </c>
      <c r="P25" s="406"/>
      <c r="Q25" s="406">
        <f>SUM(Q10:Q24)</f>
        <v>0</v>
      </c>
      <c r="R25" s="276"/>
      <c r="S25" s="277"/>
      <c r="T25" s="170"/>
      <c r="U25" s="170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</row>
    <row r="26" spans="1:57" ht="13.5" thickTop="1">
      <c r="E26" s="171"/>
      <c r="F26" s="171"/>
      <c r="I26" s="171"/>
      <c r="J26" s="171"/>
      <c r="L26" s="174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</row>
    <row r="27" spans="1:57">
      <c r="I27" s="171"/>
      <c r="J27" s="171"/>
      <c r="L27" s="174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</row>
    <row r="28" spans="1:57">
      <c r="A28" s="169"/>
      <c r="B28" s="167"/>
      <c r="I28" s="171"/>
      <c r="J28" s="171"/>
      <c r="L28" s="174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</row>
    <row r="29" spans="1:57">
      <c r="I29" s="171"/>
      <c r="J29" s="171"/>
      <c r="L29" s="174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</row>
    <row r="30" spans="1:57">
      <c r="L30" s="175"/>
    </row>
  </sheetData>
  <sheetProtection password="9399" sheet="1" scenarios="1"/>
  <customSheetViews>
    <customSheetView guid="{504CC784-4394-4648-B9CE-DFC32001696E}" showGridLines="0" fitToPage="1" showRuler="0">
      <pane xSplit="2" ySplit="9" topLeftCell="H10" activePane="bottomRight" state="frozen"/>
      <selection pane="bottomRight" activeCell="O10" sqref="O10"/>
      <pageMargins left="0" right="0" top="0" bottom="0" header="0" footer="0"/>
      <pageSetup scale="65" orientation="landscape" r:id="rId1"/>
      <headerFooter alignWithMargins="0"/>
    </customSheetView>
  </customSheetViews>
  <mergeCells count="6">
    <mergeCell ref="L6:L9"/>
    <mergeCell ref="K6:K9"/>
    <mergeCell ref="C6:C8"/>
    <mergeCell ref="D6:D8"/>
    <mergeCell ref="E6:E8"/>
    <mergeCell ref="G6:G8"/>
  </mergeCells>
  <phoneticPr fontId="22" type="noConversion"/>
  <pageMargins left="0.25" right="0.25" top="1" bottom="1" header="0.5" footer="0.5"/>
  <pageSetup scale="70"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75" r:id="rId5" name="Button 31">
              <controlPr defaultSize="0" print="0" autoFill="0" autoPict="0" macro="[0]!rbc">
                <anchor moveWithCells="1"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2</xdr:col>
                    <xdr:colOff>161925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6" name="Button 33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2</xdr:col>
                    <xdr:colOff>161925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7" name="Drop Down 36">
              <controlPr defaultSize="0" autoFill="0" autoLine="0" autoPict="0">
                <anchor moveWithCells="1">
                  <from>
                    <xdr:col>5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8" name="Drop Down 62">
              <controlPr defaultSize="0" autoFill="0" autoLine="0" autoPict="0">
                <anchor moveWithCells="1">
                  <from>
                    <xdr:col>5</xdr:col>
                    <xdr:colOff>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9" name="Drop Down 63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10" name="Drop Down 64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171450</xdr:rowOff>
                  </from>
                  <to>
                    <xdr:col>6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11" name="Drop Down 65">
              <controlPr defaultSize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12" name="Drop Down 66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13" name="Drop Down 6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14" name="Drop Down 68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0</xdr:rowOff>
                  </from>
                  <to>
                    <xdr:col>6</xdr:col>
                    <xdr:colOff>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15" name="Drop Down 69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16" name="Drop Down 70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0</xdr:rowOff>
                  </from>
                  <to>
                    <xdr:col>6</xdr:col>
                    <xdr:colOff>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17" name="Drop Down 71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0</xdr:rowOff>
                  </from>
                  <to>
                    <xdr:col>6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18" name="Drop Down 72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0</xdr:rowOff>
                  </from>
                  <to>
                    <xdr:col>6</xdr:col>
                    <xdr:colOff>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19" name="Drop Down 73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0</xdr:rowOff>
                  </from>
                  <to>
                    <xdr:col>6</xdr:col>
                    <xdr:colOff>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20" name="Drop Down 74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0</xdr:rowOff>
                  </from>
                  <to>
                    <xdr:col>6</xdr:col>
                    <xdr:colOff>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21" name="Drop Down 75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171450</xdr:rowOff>
                  </from>
                  <to>
                    <xdr:col>6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22" name="Drop Down 76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0</xdr:rowOff>
                  </from>
                  <to>
                    <xdr:col>13</xdr:col>
                    <xdr:colOff>19050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23" name="Drop Down 77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0</xdr:rowOff>
                  </from>
                  <to>
                    <xdr:col>13</xdr:col>
                    <xdr:colOff>19050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24" name="Drop Down 78">
              <controlPr defaultSize="0" autoFill="0" autoLine="0" autoPict="0">
                <anchor moveWithCells="1">
                  <from>
                    <xdr:col>12</xdr:col>
                    <xdr:colOff>0</xdr:colOff>
                    <xdr:row>11</xdr:row>
                    <xdr:rowOff>0</xdr:rowOff>
                  </from>
                  <to>
                    <xdr:col>13</xdr:col>
                    <xdr:colOff>19050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25" name="Drop Down 79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0</xdr:rowOff>
                  </from>
                  <to>
                    <xdr:col>13</xdr:col>
                    <xdr:colOff>19050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26" name="Drop Down 80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0</xdr:rowOff>
                  </from>
                  <to>
                    <xdr:col>13</xdr:col>
                    <xdr:colOff>19050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27" name="Drop Down 81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0</xdr:rowOff>
                  </from>
                  <to>
                    <xdr:col>13</xdr:col>
                    <xdr:colOff>19050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28" name="Drop Down 82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0</xdr:rowOff>
                  </from>
                  <to>
                    <xdr:col>13</xdr:col>
                    <xdr:colOff>19050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29" name="Drop Down 83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0</xdr:rowOff>
                  </from>
                  <to>
                    <xdr:col>13</xdr:col>
                    <xdr:colOff>19050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30" name="Drop Down 84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0</xdr:rowOff>
                  </from>
                  <to>
                    <xdr:col>13</xdr:col>
                    <xdr:colOff>19050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31" name="Drop Down 85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0</xdr:rowOff>
                  </from>
                  <to>
                    <xdr:col>13</xdr:col>
                    <xdr:colOff>19050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32" name="Drop Down 86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0</xdr:rowOff>
                  </from>
                  <to>
                    <xdr:col>13</xdr:col>
                    <xdr:colOff>19050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33" name="Drop Down 87">
              <controlPr defaultSize="0" autoFill="0" autoLine="0" autoPict="0">
                <anchor moveWithCells="1">
                  <from>
                    <xdr:col>12</xdr:col>
                    <xdr:colOff>0</xdr:colOff>
                    <xdr:row>20</xdr:row>
                    <xdr:rowOff>0</xdr:rowOff>
                  </from>
                  <to>
                    <xdr:col>13</xdr:col>
                    <xdr:colOff>19050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34" name="Drop Down 88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0</xdr:rowOff>
                  </from>
                  <to>
                    <xdr:col>13</xdr:col>
                    <xdr:colOff>19050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35" name="Drop Down 89">
              <controlPr defaultSize="0" autoFill="0" autoLine="0" autoPict="0">
                <anchor moveWithCells="1">
                  <from>
                    <xdr:col>12</xdr:col>
                    <xdr:colOff>0</xdr:colOff>
                    <xdr:row>22</xdr:row>
                    <xdr:rowOff>0</xdr:rowOff>
                  </from>
                  <to>
                    <xdr:col>13</xdr:col>
                    <xdr:colOff>19050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36" name="Drop Down 90">
              <controlPr defaultSize="0" autoFill="0" autoLine="0" autoPict="0">
                <anchor moveWithCells="1">
                  <from>
                    <xdr:col>12</xdr:col>
                    <xdr:colOff>0</xdr:colOff>
                    <xdr:row>23</xdr:row>
                    <xdr:rowOff>0</xdr:rowOff>
                  </from>
                  <to>
                    <xdr:col>13</xdr:col>
                    <xdr:colOff>19050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C6387-7461-4701-994E-9857EE668207}">
  <sheetPr codeName="Sheet5"/>
  <dimension ref="A1:N41"/>
  <sheetViews>
    <sheetView showGridLines="0" zoomScaleNormal="100" workbookViewId="0">
      <pane xSplit="1" ySplit="3" topLeftCell="B4" activePane="bottomRight" state="frozen"/>
      <selection pane="bottomRight" activeCell="G39" sqref="G39"/>
      <selection pane="bottomLeft" activeCell="G39" sqref="G39"/>
      <selection pane="topRight" activeCell="G39" sqref="G39"/>
    </sheetView>
  </sheetViews>
  <sheetFormatPr defaultRowHeight="12.75"/>
  <cols>
    <col min="1" max="1" width="30.5703125" style="161" customWidth="1"/>
    <col min="2" max="2" width="7.28515625" customWidth="1"/>
    <col min="3" max="3" width="9.28515625" style="149" customWidth="1"/>
  </cols>
  <sheetData>
    <row r="1" spans="1:11">
      <c r="A1" s="148"/>
      <c r="C1" s="155" t="s">
        <v>399</v>
      </c>
    </row>
    <row r="4" spans="1:11">
      <c r="A4" s="157" t="s">
        <v>3</v>
      </c>
      <c r="C4" s="149" t="s">
        <v>400</v>
      </c>
    </row>
    <row r="5" spans="1:11">
      <c r="A5" s="160"/>
    </row>
    <row r="6" spans="1:11">
      <c r="A6" s="158" t="s">
        <v>401</v>
      </c>
      <c r="C6" s="149" t="s">
        <v>402</v>
      </c>
    </row>
    <row r="8" spans="1:11" ht="25.5">
      <c r="A8" s="159" t="s">
        <v>403</v>
      </c>
      <c r="C8" s="149" t="s">
        <v>404</v>
      </c>
    </row>
    <row r="10" spans="1:11">
      <c r="C10" s="871" t="s">
        <v>405</v>
      </c>
      <c r="D10" s="871"/>
      <c r="E10" s="871"/>
      <c r="F10" s="871"/>
      <c r="G10" s="871"/>
      <c r="H10" s="871"/>
      <c r="I10" s="871"/>
      <c r="J10" s="871"/>
      <c r="K10" s="871"/>
    </row>
    <row r="11" spans="1:11">
      <c r="C11" s="871" t="s">
        <v>406</v>
      </c>
      <c r="D11" s="871"/>
      <c r="E11" s="871"/>
      <c r="F11" s="871"/>
      <c r="G11" s="871"/>
      <c r="H11" s="871"/>
      <c r="I11" s="871"/>
      <c r="J11" s="871"/>
      <c r="K11" s="871"/>
    </row>
    <row r="13" spans="1:11">
      <c r="A13" s="157" t="s">
        <v>206</v>
      </c>
      <c r="C13" s="149" t="s">
        <v>407</v>
      </c>
    </row>
    <row r="14" spans="1:11">
      <c r="C14" s="149" t="s">
        <v>408</v>
      </c>
    </row>
    <row r="16" spans="1:11" ht="15" customHeight="1">
      <c r="A16" s="161" t="s">
        <v>409</v>
      </c>
      <c r="C16" s="149" t="s">
        <v>410</v>
      </c>
    </row>
    <row r="19" spans="1:14">
      <c r="A19" s="161" t="s">
        <v>208</v>
      </c>
      <c r="C19" s="149" t="s">
        <v>411</v>
      </c>
    </row>
    <row r="21" spans="1:14" ht="25.5" customHeight="1">
      <c r="A21" s="161" t="s">
        <v>209</v>
      </c>
      <c r="C21" s="871" t="s">
        <v>412</v>
      </c>
      <c r="D21" s="871"/>
      <c r="E21" s="871"/>
      <c r="F21" s="871"/>
      <c r="G21" s="871"/>
      <c r="H21" s="871"/>
      <c r="I21" s="871"/>
      <c r="J21" s="871"/>
      <c r="K21" s="871"/>
      <c r="L21" s="149"/>
      <c r="M21" s="149"/>
      <c r="N21" s="149"/>
    </row>
    <row r="23" spans="1:14" ht="25.5">
      <c r="A23" s="161" t="s">
        <v>210</v>
      </c>
      <c r="C23" s="149" t="s">
        <v>413</v>
      </c>
    </row>
    <row r="25" spans="1:14" ht="25.5">
      <c r="A25" s="161" t="s">
        <v>211</v>
      </c>
      <c r="C25" s="149" t="s">
        <v>414</v>
      </c>
    </row>
    <row r="27" spans="1:14">
      <c r="A27" s="157" t="s">
        <v>214</v>
      </c>
      <c r="C27" s="149" t="s">
        <v>415</v>
      </c>
    </row>
    <row r="30" spans="1:14" ht="38.25">
      <c r="A30" s="161" t="s">
        <v>226</v>
      </c>
      <c r="C30" s="871" t="s">
        <v>416</v>
      </c>
      <c r="D30" s="873"/>
      <c r="E30" s="873"/>
      <c r="F30" s="873"/>
      <c r="G30" s="873"/>
      <c r="H30" s="873"/>
      <c r="I30" s="873"/>
      <c r="J30" s="873"/>
      <c r="K30" s="873"/>
    </row>
    <row r="32" spans="1:14" ht="25.5" customHeight="1">
      <c r="A32" s="161" t="s">
        <v>227</v>
      </c>
      <c r="C32" s="872" t="s">
        <v>417</v>
      </c>
      <c r="D32" s="872"/>
      <c r="E32" s="872"/>
      <c r="F32" s="872"/>
      <c r="G32" s="872"/>
      <c r="H32" s="872"/>
      <c r="I32" s="872"/>
      <c r="J32" s="872"/>
      <c r="K32" s="872"/>
    </row>
    <row r="33" spans="1:11">
      <c r="C33" s="160"/>
      <c r="D33" s="160"/>
      <c r="E33" s="160"/>
      <c r="F33" s="160"/>
      <c r="G33" s="160"/>
      <c r="H33" s="160"/>
      <c r="I33" s="160"/>
      <c r="J33" s="160"/>
      <c r="K33" s="160"/>
    </row>
    <row r="34" spans="1:11">
      <c r="A34" s="160"/>
    </row>
    <row r="35" spans="1:11">
      <c r="A35" s="163" t="s">
        <v>253</v>
      </c>
      <c r="C35" s="149" t="s">
        <v>407</v>
      </c>
    </row>
    <row r="36" spans="1:11">
      <c r="A36" s="162"/>
    </row>
    <row r="37" spans="1:11" ht="25.5">
      <c r="A37" s="162" t="s">
        <v>260</v>
      </c>
      <c r="C37" s="149" t="s">
        <v>418</v>
      </c>
    </row>
    <row r="38" spans="1:11">
      <c r="A38" s="162"/>
    </row>
    <row r="39" spans="1:11">
      <c r="A39" s="164" t="s">
        <v>305</v>
      </c>
      <c r="C39" s="801" t="s">
        <v>419</v>
      </c>
    </row>
    <row r="40" spans="1:11">
      <c r="C40" s="149" t="s">
        <v>420</v>
      </c>
    </row>
    <row r="41" spans="1:11">
      <c r="C41" s="149" t="s">
        <v>421</v>
      </c>
    </row>
  </sheetData>
  <sheetProtection sheet="1" objects="1" scenarios="1"/>
  <customSheetViews>
    <customSheetView guid="{504CC784-4394-4648-B9CE-DFC32001696E}" showGridLines="0" showRuler="0">
      <pane xSplit="1" ySplit="3" topLeftCell="B4" activePane="bottomRight" state="frozen"/>
      <selection pane="bottomRight" activeCell="D3" sqref="D3"/>
      <pageMargins left="0" right="0" top="0" bottom="0" header="0" footer="0"/>
      <pageSetup orientation="landscape" r:id="rId1"/>
      <headerFooter alignWithMargins="0"/>
    </customSheetView>
  </customSheetViews>
  <mergeCells count="5">
    <mergeCell ref="C10:K10"/>
    <mergeCell ref="C11:K11"/>
    <mergeCell ref="C32:K32"/>
    <mergeCell ref="C30:K30"/>
    <mergeCell ref="C21:K21"/>
  </mergeCells>
  <phoneticPr fontId="22" type="noConversion"/>
  <hyperlinks>
    <hyperlink ref="A4" location="'Schedule 1_Cash in Bank'!A1" display="'Schedule 1_Cash in Bank'!A1" xr:uid="{943DDD92-5DDB-4E30-A13A-39203600205D}"/>
    <hyperlink ref="A6" location="'Schedule 1_Cash in Bank'!e54" display="'Schedule 1_Cash in Bank'!e54" xr:uid="{69FEC4C4-EF91-4F12-A8DD-13D71359777F}"/>
    <hyperlink ref="A8" location="'Schedule 2_Placement'!A1" display="'Schedule 2_Placement'!A1" xr:uid="{20AFE16F-C170-4449-A3A4-579F2FFFBE23}"/>
    <hyperlink ref="A13" location="'Schedule 4_Security Valuation-C'!A1" display="'Schedule 4_Security Valuation-C'!A1" xr:uid="{C11784C7-C34E-4AC9-9422-C1C0C2BE211C}"/>
    <hyperlink ref="A27" location="SL!A1" display="SL!A1" xr:uid="{3621F82F-F5C8-424F-8117-0A3D41D373C0}"/>
    <hyperlink ref="A35" location="'Schedule 4_Security Valuation-C'!A1" display="'Schedule 4_Security Valuation-C'!A1" xr:uid="{044287FF-DBC5-4C43-95FB-CA463BEF2F97}"/>
    <hyperlink ref="A39" location="Others!A1" display="Others!A1" xr:uid="{32C66AF3-21E3-447F-8ADB-2D4D9FCEEF17}"/>
  </hyperlinks>
  <pageMargins left="0.75" right="0.75" top="1" bottom="1" header="0.5" footer="0.5"/>
  <pageSetup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10" r:id="rId5" name="Button 18">
              <controlPr defaultSize="0" print="0" autoFill="0" autoPict="0" macro="[0]!rbc">
                <anchor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0</xdr:col>
                    <xdr:colOff>1143000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6" name="Button 19">
              <controlPr defaultSize="0" print="0" autoFill="0" autoPict="0" macro="[0]!navigate">
                <anchor>
                  <from>
                    <xdr:col>0</xdr:col>
                    <xdr:colOff>9525</xdr:colOff>
                    <xdr:row>1</xdr:row>
                    <xdr:rowOff>57150</xdr:rowOff>
                  </from>
                  <to>
                    <xdr:col>0</xdr:col>
                    <xdr:colOff>1143000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57F2-2E8B-46AA-BFA3-EBA190FD6552}">
  <sheetPr codeName="Sheet7"/>
  <dimension ref="A1:L178"/>
  <sheetViews>
    <sheetView showGridLines="0" zoomScaleNormal="100" zoomScaleSheetLayoutView="100" workbookViewId="0">
      <pane ySplit="3" topLeftCell="A84" activePane="bottomLeft" state="frozen"/>
      <selection pane="bottomLeft" activeCell="I104" sqref="I104"/>
      <selection activeCell="G2" sqref="G2"/>
    </sheetView>
  </sheetViews>
  <sheetFormatPr defaultRowHeight="12.75"/>
  <cols>
    <col min="1" max="1" width="2.42578125" customWidth="1"/>
    <col min="2" max="2" width="3.28515625" customWidth="1"/>
    <col min="3" max="4" width="6.28515625" customWidth="1"/>
    <col min="5" max="7" width="9.28515625" customWidth="1"/>
    <col min="8" max="8" width="14.42578125" customWidth="1"/>
    <col min="9" max="9" width="16.5703125" style="507" customWidth="1"/>
    <col min="10" max="10" width="16.7109375" style="590" customWidth="1"/>
    <col min="11" max="11" width="10.28515625" bestFit="1" customWidth="1"/>
    <col min="12" max="12" width="9.28515625" style="143" customWidth="1"/>
  </cols>
  <sheetData>
    <row r="1" spans="1:12" s="507" customFormat="1">
      <c r="A1" s="488"/>
      <c r="B1" s="488"/>
      <c r="C1" s="488"/>
      <c r="D1" s="488"/>
      <c r="E1" s="488"/>
      <c r="F1" s="488"/>
      <c r="G1" s="488"/>
      <c r="H1" s="488"/>
      <c r="I1" s="1" t="s">
        <v>422</v>
      </c>
      <c r="J1" s="765"/>
      <c r="K1" s="488"/>
      <c r="L1" s="143"/>
    </row>
    <row r="2" spans="1:12" s="507" customFormat="1">
      <c r="A2" s="488"/>
      <c r="B2" s="488"/>
      <c r="C2" s="488"/>
      <c r="D2" s="488"/>
      <c r="E2" s="488"/>
      <c r="F2" s="488"/>
      <c r="G2" s="488"/>
      <c r="H2" s="488"/>
      <c r="I2" s="1" t="s">
        <v>423</v>
      </c>
      <c r="J2" s="765"/>
      <c r="K2" s="488"/>
      <c r="L2" s="143"/>
    </row>
    <row r="3" spans="1:12" s="507" customFormat="1">
      <c r="A3" s="488"/>
      <c r="B3" s="488"/>
      <c r="C3" s="488"/>
      <c r="D3" s="488"/>
      <c r="E3" s="488"/>
      <c r="F3" s="488"/>
      <c r="G3" s="488"/>
      <c r="H3" s="488"/>
      <c r="I3" s="488"/>
      <c r="J3" s="765"/>
      <c r="K3" s="488"/>
      <c r="L3" s="143"/>
    </row>
    <row r="4" spans="1:12" s="507" customFormat="1" ht="15">
      <c r="A4" s="678" t="s">
        <v>424</v>
      </c>
      <c r="B4" s="766"/>
      <c r="C4" s="766"/>
      <c r="D4" s="766"/>
      <c r="E4" s="766"/>
      <c r="F4" s="766"/>
      <c r="G4" s="766"/>
      <c r="H4" s="766"/>
      <c r="I4" s="766"/>
      <c r="J4" s="767"/>
      <c r="K4" s="488"/>
      <c r="L4" s="143"/>
    </row>
    <row r="5" spans="1:12" s="507" customFormat="1" ht="15">
      <c r="A5" s="679" t="s">
        <v>425</v>
      </c>
      <c r="B5" s="766"/>
      <c r="C5" s="766"/>
      <c r="D5" s="766"/>
      <c r="E5" s="766"/>
      <c r="F5" s="766"/>
      <c r="G5" s="766"/>
      <c r="H5" s="766"/>
      <c r="I5" s="766"/>
      <c r="J5" s="767"/>
      <c r="K5" s="488"/>
      <c r="L5" s="143"/>
    </row>
    <row r="6" spans="1:12" s="507" customFormat="1" ht="15">
      <c r="A6" s="219" t="str">
        <f>+'trial balance'!A1:C1</f>
        <v>NAME OF THE TRADING PARTICIPANT</v>
      </c>
      <c r="B6" s="220"/>
      <c r="C6" s="220"/>
      <c r="D6" s="220"/>
      <c r="E6" s="220"/>
      <c r="F6" s="220"/>
      <c r="G6" s="220"/>
      <c r="H6" s="220"/>
      <c r="I6" s="220"/>
      <c r="J6" s="583"/>
      <c r="K6" s="488"/>
      <c r="L6" s="143"/>
    </row>
    <row r="7" spans="1:12" s="507" customFormat="1" ht="15">
      <c r="A7" s="221" t="str">
        <f>+'trial balance'!A3:C3</f>
        <v>mm/dd/yyyy</v>
      </c>
      <c r="B7" s="221"/>
      <c r="C7" s="221"/>
      <c r="D7" s="221"/>
      <c r="E7" s="221"/>
      <c r="F7" s="221"/>
      <c r="G7" s="221"/>
      <c r="H7" s="221"/>
      <c r="I7" s="221"/>
      <c r="J7" s="583"/>
      <c r="K7" s="488"/>
      <c r="L7" s="143"/>
    </row>
    <row r="8" spans="1:12" s="507" customFormat="1" ht="15">
      <c r="A8" s="677" t="s">
        <v>426</v>
      </c>
      <c r="B8" s="766"/>
      <c r="C8" s="766"/>
      <c r="D8" s="766"/>
      <c r="E8" s="766"/>
      <c r="F8" s="766"/>
      <c r="G8" s="766"/>
      <c r="H8" s="766"/>
      <c r="I8" s="766"/>
      <c r="J8" s="767"/>
      <c r="K8" s="488"/>
      <c r="L8" s="143"/>
    </row>
    <row r="9" spans="1:12" s="507" customFormat="1">
      <c r="A9" s="488"/>
      <c r="B9" s="488"/>
      <c r="C9" s="488"/>
      <c r="D9" s="488"/>
      <c r="E9" s="488"/>
      <c r="F9" s="488"/>
      <c r="G9" s="488"/>
      <c r="H9" s="488"/>
      <c r="I9" s="183"/>
      <c r="J9" s="591">
        <f>+J126-J13</f>
        <v>0</v>
      </c>
      <c r="K9" s="488"/>
      <c r="L9" s="143"/>
    </row>
    <row r="10" spans="1:12" s="507" customFormat="1">
      <c r="A10" s="488"/>
      <c r="B10" s="488"/>
      <c r="C10" s="488"/>
      <c r="D10" s="488"/>
      <c r="E10" s="488"/>
      <c r="F10" s="488"/>
      <c r="G10" s="488"/>
      <c r="H10" s="488"/>
      <c r="I10" s="183"/>
      <c r="J10" s="584"/>
      <c r="K10" s="488"/>
      <c r="L10" s="143"/>
    </row>
    <row r="11" spans="1:12" s="507" customFormat="1">
      <c r="A11" s="156" t="s">
        <v>427</v>
      </c>
      <c r="B11" s="156"/>
      <c r="C11" s="156"/>
      <c r="D11" s="156"/>
      <c r="E11" s="156"/>
      <c r="F11" s="156"/>
      <c r="G11" s="156"/>
      <c r="H11" s="156"/>
      <c r="I11" s="156"/>
      <c r="J11" s="767"/>
      <c r="K11" s="488"/>
      <c r="L11" s="143"/>
    </row>
    <row r="12" spans="1:12">
      <c r="A12" s="156"/>
      <c r="B12" s="156"/>
      <c r="C12" s="156"/>
      <c r="D12" s="156"/>
      <c r="E12" s="156"/>
      <c r="F12" s="156"/>
      <c r="G12" s="156"/>
      <c r="H12" s="156"/>
      <c r="I12" s="156"/>
      <c r="J12" s="767"/>
    </row>
    <row r="13" spans="1:12" s="1" customFormat="1" ht="12.75" customHeight="1">
      <c r="A13" s="76" t="s">
        <v>428</v>
      </c>
      <c r="B13" s="76"/>
      <c r="C13" s="76"/>
      <c r="D13" s="76"/>
      <c r="E13" s="76"/>
      <c r="F13" s="76"/>
      <c r="G13" s="76"/>
      <c r="H13" s="76"/>
      <c r="J13" s="585">
        <f>+J15+J48+J47+J49+J50+J52+J66+J69</f>
        <v>0</v>
      </c>
      <c r="L13" s="143"/>
    </row>
    <row r="14" spans="1:12" s="1" customFormat="1" ht="12.75" customHeight="1">
      <c r="A14" s="76"/>
      <c r="B14" s="76"/>
      <c r="C14" s="76"/>
      <c r="D14" s="76"/>
      <c r="E14" s="76"/>
      <c r="F14" s="76"/>
      <c r="G14" s="76"/>
      <c r="H14" s="76"/>
      <c r="J14" s="258"/>
      <c r="L14" s="143"/>
    </row>
    <row r="15" spans="1:12" ht="12.75" customHeight="1">
      <c r="A15" s="76"/>
      <c r="B15" s="761" t="s">
        <v>429</v>
      </c>
      <c r="C15" s="761"/>
      <c r="D15" s="761"/>
      <c r="E15" s="761"/>
      <c r="F15" s="761"/>
      <c r="G15" s="761"/>
      <c r="H15" s="761"/>
      <c r="I15" s="488"/>
      <c r="J15" s="768">
        <f>+J16+J19+J20+J26+J38+J39+J43</f>
        <v>0</v>
      </c>
    </row>
    <row r="16" spans="1:12">
      <c r="A16" s="76"/>
      <c r="B16" s="761"/>
      <c r="C16" s="761" t="s">
        <v>430</v>
      </c>
      <c r="D16" s="761"/>
      <c r="E16" s="761"/>
      <c r="F16" s="761"/>
      <c r="G16" s="761"/>
      <c r="H16" s="761"/>
      <c r="I16" s="769"/>
      <c r="J16" s="768">
        <f>SUM(I17:I18)</f>
        <v>0</v>
      </c>
    </row>
    <row r="17" spans="1:11">
      <c r="A17" s="76"/>
      <c r="B17" s="761"/>
      <c r="C17" s="761"/>
      <c r="D17" s="761" t="s">
        <v>431</v>
      </c>
      <c r="E17" s="761"/>
      <c r="F17" s="761"/>
      <c r="G17" s="761"/>
      <c r="H17" s="761"/>
      <c r="I17" s="769">
        <f>SUM('trial balance'!B8:B10)</f>
        <v>0</v>
      </c>
      <c r="J17" s="768"/>
    </row>
    <row r="18" spans="1:11">
      <c r="A18" s="76"/>
      <c r="B18" s="761"/>
      <c r="D18" s="761" t="s">
        <v>432</v>
      </c>
      <c r="E18" s="761"/>
      <c r="F18" s="761"/>
      <c r="G18" s="761"/>
      <c r="H18" s="761"/>
      <c r="I18" s="769">
        <f>+'trial balance'!B11</f>
        <v>0</v>
      </c>
      <c r="J18" s="768"/>
    </row>
    <row r="19" spans="1:11">
      <c r="C19" s="488" t="s">
        <v>433</v>
      </c>
      <c r="D19" s="488"/>
      <c r="E19" s="488"/>
      <c r="F19" s="761"/>
      <c r="G19" s="761"/>
      <c r="H19" s="761"/>
      <c r="I19" s="770"/>
      <c r="J19" s="768">
        <f>+'trial balance'!B13+'trial balance'!B42</f>
        <v>0</v>
      </c>
    </row>
    <row r="20" spans="1:11">
      <c r="A20" s="76"/>
      <c r="B20" s="761"/>
      <c r="C20" s="761" t="s">
        <v>434</v>
      </c>
      <c r="D20" s="761"/>
      <c r="E20" s="761"/>
      <c r="F20" s="761"/>
      <c r="G20" s="761"/>
      <c r="H20" s="761"/>
      <c r="I20" s="770"/>
      <c r="J20" s="768">
        <f>SUM(I21:I24)</f>
        <v>0</v>
      </c>
    </row>
    <row r="21" spans="1:11">
      <c r="A21" s="76"/>
      <c r="B21" s="761"/>
      <c r="C21" s="761" t="s">
        <v>435</v>
      </c>
      <c r="D21" s="761"/>
      <c r="E21" s="761"/>
      <c r="F21" s="761"/>
      <c r="G21" s="761"/>
      <c r="H21" s="761"/>
      <c r="I21" s="769">
        <f>+'trial balance'!B15</f>
        <v>0</v>
      </c>
      <c r="J21" s="768"/>
    </row>
    <row r="22" spans="1:11">
      <c r="A22" s="76"/>
      <c r="B22" s="761"/>
      <c r="C22" s="761" t="s">
        <v>436</v>
      </c>
      <c r="D22" s="761"/>
      <c r="E22" s="761"/>
      <c r="F22" s="761"/>
      <c r="G22" s="761"/>
      <c r="H22" s="761"/>
      <c r="I22" s="769">
        <f>+'trial balance'!B16</f>
        <v>0</v>
      </c>
      <c r="J22" s="768"/>
    </row>
    <row r="23" spans="1:11">
      <c r="A23" s="76"/>
      <c r="B23" s="761"/>
      <c r="C23" s="761" t="s">
        <v>437</v>
      </c>
      <c r="D23" s="761"/>
      <c r="E23" s="761"/>
      <c r="F23" s="761"/>
      <c r="G23" s="761"/>
      <c r="H23" s="761"/>
      <c r="I23" s="770"/>
      <c r="J23" s="768"/>
    </row>
    <row r="24" spans="1:11">
      <c r="A24" s="76"/>
      <c r="B24" s="761"/>
      <c r="C24" s="761" t="s">
        <v>438</v>
      </c>
      <c r="D24" s="761"/>
      <c r="E24" s="761"/>
      <c r="F24" s="761"/>
      <c r="G24" s="761"/>
      <c r="H24" s="761"/>
      <c r="I24" s="502">
        <f>-+'trial balance'!C17</f>
        <v>0</v>
      </c>
      <c r="J24" s="586"/>
      <c r="K24" s="184" t="str">
        <f>IF(SUM(I21:I22)&lt;-I24,"Recheck!  Allowance exceeds Cost.","")</f>
        <v/>
      </c>
    </row>
    <row r="25" spans="1:11">
      <c r="A25" s="76"/>
      <c r="B25" s="761"/>
      <c r="C25" s="761" t="s">
        <v>439</v>
      </c>
      <c r="D25" s="761"/>
      <c r="E25" s="761"/>
      <c r="F25" s="761"/>
      <c r="G25" s="761"/>
      <c r="H25" s="761"/>
      <c r="I25" s="770"/>
      <c r="J25" s="768"/>
    </row>
    <row r="26" spans="1:11">
      <c r="A26" s="76"/>
      <c r="B26" s="761"/>
      <c r="C26" s="761" t="s">
        <v>440</v>
      </c>
      <c r="D26" s="761"/>
      <c r="E26" s="761"/>
      <c r="F26" s="761"/>
      <c r="G26" s="761"/>
      <c r="H26" s="761"/>
      <c r="I26" s="770"/>
      <c r="J26" s="768">
        <f>SUM(I27:I37)</f>
        <v>0</v>
      </c>
    </row>
    <row r="27" spans="1:11">
      <c r="A27" s="76"/>
      <c r="B27" s="761"/>
      <c r="C27" s="761" t="s">
        <v>441</v>
      </c>
      <c r="D27" s="761"/>
      <c r="E27" s="761"/>
      <c r="F27" s="761"/>
      <c r="G27" s="761"/>
      <c r="H27" s="761"/>
      <c r="I27" s="769">
        <f>+'trial balance'!B19</f>
        <v>0</v>
      </c>
      <c r="J27" s="768"/>
    </row>
    <row r="28" spans="1:11">
      <c r="A28" s="76"/>
      <c r="B28" s="761"/>
      <c r="C28" s="761" t="s">
        <v>442</v>
      </c>
      <c r="D28" s="761"/>
      <c r="E28" s="761"/>
      <c r="F28" s="761"/>
      <c r="G28" s="761"/>
      <c r="H28" s="761"/>
      <c r="I28" s="769">
        <f>+'trial balance'!B21</f>
        <v>0</v>
      </c>
      <c r="J28" s="768"/>
    </row>
    <row r="29" spans="1:11">
      <c r="A29" s="76"/>
      <c r="B29" s="761"/>
      <c r="C29" s="761" t="s">
        <v>443</v>
      </c>
      <c r="D29" s="761"/>
      <c r="E29" s="761"/>
      <c r="F29" s="761"/>
      <c r="G29" s="761"/>
      <c r="H29" s="761"/>
      <c r="I29" s="769">
        <f>+'trial balance'!B22</f>
        <v>0</v>
      </c>
      <c r="J29" s="768"/>
    </row>
    <row r="30" spans="1:11">
      <c r="A30" s="76"/>
      <c r="B30" s="761"/>
      <c r="C30" s="761" t="s">
        <v>444</v>
      </c>
      <c r="D30" s="761"/>
      <c r="E30" s="761"/>
      <c r="F30" s="761"/>
      <c r="G30" s="761"/>
      <c r="H30" s="761"/>
      <c r="I30" s="769">
        <f>+'trial balance'!B23</f>
        <v>0</v>
      </c>
      <c r="J30" s="768"/>
    </row>
    <row r="31" spans="1:11">
      <c r="A31" s="76"/>
      <c r="B31" s="761"/>
      <c r="C31" s="761" t="s">
        <v>445</v>
      </c>
      <c r="D31" s="761"/>
      <c r="E31" s="761"/>
      <c r="F31" s="761"/>
      <c r="G31" s="761"/>
      <c r="H31" s="761"/>
      <c r="I31" s="769">
        <f>+'trial balance'!B24</f>
        <v>0</v>
      </c>
      <c r="J31" s="768"/>
    </row>
    <row r="32" spans="1:11">
      <c r="A32" s="76"/>
      <c r="B32" s="761"/>
      <c r="C32" s="761" t="s">
        <v>446</v>
      </c>
      <c r="D32" s="761"/>
      <c r="E32" s="761"/>
      <c r="F32" s="761"/>
      <c r="G32" s="761"/>
      <c r="H32" s="761"/>
      <c r="I32" s="769">
        <f>+'trial balance'!B25</f>
        <v>0</v>
      </c>
      <c r="J32" s="768"/>
    </row>
    <row r="33" spans="1:10">
      <c r="A33" s="76"/>
      <c r="B33" s="761"/>
      <c r="C33" s="761" t="s">
        <v>447</v>
      </c>
      <c r="D33" s="761"/>
      <c r="E33" s="761"/>
      <c r="F33" s="761"/>
      <c r="G33" s="761"/>
      <c r="H33" s="761"/>
      <c r="I33" s="769">
        <f>+'trial balance'!B26</f>
        <v>0</v>
      </c>
      <c r="J33" s="768"/>
    </row>
    <row r="34" spans="1:10">
      <c r="A34" s="76"/>
      <c r="B34" s="761"/>
      <c r="C34" s="761" t="s">
        <v>448</v>
      </c>
      <c r="D34" s="761"/>
      <c r="E34" s="761"/>
      <c r="F34" s="761"/>
      <c r="G34" s="761"/>
      <c r="H34" s="761"/>
      <c r="I34" s="769">
        <f>+'trial balance'!B27</f>
        <v>0</v>
      </c>
      <c r="J34" s="768"/>
    </row>
    <row r="35" spans="1:10">
      <c r="A35" s="76"/>
      <c r="B35" s="761"/>
      <c r="C35" s="761" t="s">
        <v>449</v>
      </c>
      <c r="D35" s="761"/>
      <c r="E35" s="761"/>
      <c r="F35" s="761"/>
      <c r="G35" s="761"/>
      <c r="H35" s="761"/>
      <c r="I35" s="771">
        <f>+'trial balance'!B28</f>
        <v>0</v>
      </c>
      <c r="J35" s="768"/>
    </row>
    <row r="36" spans="1:10">
      <c r="A36" s="76"/>
      <c r="B36" s="761"/>
      <c r="C36" s="761" t="s">
        <v>450</v>
      </c>
      <c r="D36" s="761"/>
      <c r="E36" s="761"/>
      <c r="F36" s="761"/>
      <c r="G36" s="761"/>
      <c r="H36" s="761"/>
      <c r="I36" s="769"/>
      <c r="J36" s="768"/>
    </row>
    <row r="37" spans="1:10">
      <c r="A37" s="76"/>
      <c r="B37" s="761"/>
      <c r="C37" s="761" t="s">
        <v>451</v>
      </c>
      <c r="D37" s="761"/>
      <c r="E37" s="761"/>
      <c r="F37" s="761"/>
      <c r="G37" s="761"/>
      <c r="H37" s="761"/>
      <c r="I37" s="502">
        <f>-'trial balance'!C20</f>
        <v>0</v>
      </c>
      <c r="J37" s="586"/>
    </row>
    <row r="38" spans="1:10">
      <c r="A38" s="76"/>
      <c r="B38" s="761"/>
      <c r="C38" s="761" t="s">
        <v>452</v>
      </c>
      <c r="D38" s="761"/>
      <c r="E38" s="761"/>
      <c r="F38" s="761"/>
      <c r="G38" s="761"/>
      <c r="H38" s="761"/>
      <c r="I38" s="770"/>
      <c r="J38" s="768">
        <f>+'trial balance'!B30</f>
        <v>0</v>
      </c>
    </row>
    <row r="39" spans="1:10">
      <c r="A39" s="76"/>
      <c r="B39" s="761"/>
      <c r="C39" s="761" t="s">
        <v>453</v>
      </c>
      <c r="D39" s="761"/>
      <c r="E39" s="761"/>
      <c r="F39" s="761"/>
      <c r="G39" s="761"/>
      <c r="H39" s="761"/>
      <c r="I39" s="770"/>
      <c r="J39" s="768">
        <f>SUM(I40:I42)</f>
        <v>0</v>
      </c>
    </row>
    <row r="40" spans="1:10">
      <c r="A40" s="76"/>
      <c r="B40" s="761"/>
      <c r="C40" s="761"/>
      <c r="D40" s="761" t="s">
        <v>454</v>
      </c>
      <c r="E40" s="761"/>
      <c r="F40" s="761"/>
      <c r="G40" s="761"/>
      <c r="H40" s="761"/>
      <c r="I40" s="770">
        <f>+'trial balance'!B32</f>
        <v>0</v>
      </c>
      <c r="J40" s="768"/>
    </row>
    <row r="41" spans="1:10">
      <c r="A41" s="1"/>
      <c r="B41" s="1"/>
      <c r="C41" s="1"/>
      <c r="D41" s="761" t="s">
        <v>455</v>
      </c>
      <c r="E41" s="761"/>
      <c r="F41" s="761"/>
      <c r="G41" s="761"/>
      <c r="H41" s="761"/>
      <c r="I41" s="769">
        <f>+'trial balance'!B33</f>
        <v>0</v>
      </c>
      <c r="J41" s="768"/>
    </row>
    <row r="42" spans="1:10">
      <c r="A42" s="1"/>
      <c r="B42" s="1"/>
      <c r="C42" s="1"/>
      <c r="D42" s="761" t="s">
        <v>456</v>
      </c>
      <c r="E42" s="761"/>
      <c r="F42" s="761"/>
      <c r="G42" s="761"/>
      <c r="H42" s="761"/>
      <c r="I42" s="769">
        <f>+'trial balance'!B34</f>
        <v>0</v>
      </c>
      <c r="J42" s="768"/>
    </row>
    <row r="43" spans="1:10">
      <c r="A43" s="76"/>
      <c r="B43" s="761"/>
      <c r="C43" s="761" t="s">
        <v>457</v>
      </c>
      <c r="D43" s="761"/>
      <c r="E43" s="761"/>
      <c r="F43" s="761"/>
      <c r="G43" s="761"/>
      <c r="H43" s="488"/>
      <c r="I43" s="770"/>
      <c r="J43" s="768">
        <f>SUM(I44:I46)</f>
        <v>0</v>
      </c>
    </row>
    <row r="44" spans="1:10">
      <c r="A44" s="1"/>
      <c r="B44" s="1"/>
      <c r="C44" s="1"/>
      <c r="D44" s="761" t="s">
        <v>458</v>
      </c>
      <c r="E44" s="761"/>
      <c r="F44" s="761"/>
      <c r="G44" s="761"/>
      <c r="H44" s="761"/>
      <c r="I44" s="769">
        <f>SUM('trial balance'!B35:B39)-'trial balance'!B38</f>
        <v>0</v>
      </c>
      <c r="J44" s="768"/>
    </row>
    <row r="45" spans="1:10">
      <c r="A45" s="1"/>
      <c r="B45" s="1"/>
      <c r="C45" s="1"/>
      <c r="D45" s="761" t="s">
        <v>459</v>
      </c>
      <c r="E45" s="761"/>
      <c r="F45" s="761"/>
      <c r="G45" s="761"/>
      <c r="H45" s="761"/>
      <c r="I45" s="769">
        <f>+'trial balance'!B38</f>
        <v>0</v>
      </c>
      <c r="J45" s="768"/>
    </row>
    <row r="46" spans="1:10">
      <c r="A46" s="1"/>
      <c r="B46" s="1"/>
      <c r="C46" s="1"/>
      <c r="D46" s="761" t="s">
        <v>460</v>
      </c>
      <c r="E46" s="761"/>
      <c r="F46" s="761"/>
      <c r="G46" s="761"/>
      <c r="H46" s="761"/>
      <c r="I46" s="769">
        <f>+'trial balance'!B40</f>
        <v>0</v>
      </c>
      <c r="J46" s="768"/>
    </row>
    <row r="47" spans="1:10">
      <c r="A47" s="1"/>
      <c r="B47" s="488" t="s">
        <v>461</v>
      </c>
      <c r="C47" s="1"/>
      <c r="D47" s="761"/>
      <c r="E47" s="761"/>
      <c r="F47" s="761"/>
      <c r="G47" s="761"/>
      <c r="H47" s="761"/>
      <c r="I47" s="770"/>
      <c r="J47" s="768">
        <f>+'trial balance'!B51</f>
        <v>0</v>
      </c>
    </row>
    <row r="48" spans="1:10">
      <c r="A48" s="488"/>
      <c r="B48" s="488" t="s">
        <v>462</v>
      </c>
      <c r="D48" s="488"/>
      <c r="E48" s="488"/>
      <c r="F48" s="488"/>
      <c r="G48" s="488"/>
      <c r="H48" s="488"/>
      <c r="I48" s="770"/>
      <c r="J48" s="772">
        <f>+'trial balance'!B45</f>
        <v>0</v>
      </c>
    </row>
    <row r="49" spans="1:11">
      <c r="A49" s="488"/>
      <c r="B49" s="488" t="s">
        <v>463</v>
      </c>
      <c r="D49" s="488"/>
      <c r="E49" s="488"/>
      <c r="F49" s="488"/>
      <c r="G49" s="488"/>
      <c r="H49" s="488"/>
      <c r="I49" s="770"/>
      <c r="J49" s="772">
        <f>+'trial balance'!B47</f>
        <v>0</v>
      </c>
    </row>
    <row r="50" spans="1:11">
      <c r="A50" s="488"/>
      <c r="B50" s="488" t="s">
        <v>464</v>
      </c>
      <c r="C50" s="488"/>
      <c r="D50" s="488"/>
      <c r="E50" s="488"/>
      <c r="F50" s="488"/>
      <c r="G50" s="488"/>
      <c r="H50" s="488"/>
      <c r="I50" s="770"/>
      <c r="J50" s="772">
        <f>+'trial balance'!B49+'trial balance'!B43</f>
        <v>0</v>
      </c>
    </row>
    <row r="51" spans="1:11">
      <c r="A51" s="488"/>
      <c r="B51" t="s">
        <v>465</v>
      </c>
      <c r="C51" s="488"/>
      <c r="D51" s="488"/>
      <c r="E51" s="488"/>
      <c r="F51" s="488"/>
      <c r="G51" s="488"/>
      <c r="H51" s="488"/>
      <c r="I51" s="770"/>
      <c r="J51" s="768"/>
    </row>
    <row r="52" spans="1:11">
      <c r="A52" s="488"/>
      <c r="B52" s="488"/>
      <c r="C52" t="s">
        <v>466</v>
      </c>
      <c r="H52" s="488"/>
      <c r="I52" s="770"/>
      <c r="J52" s="768">
        <f>SUM(I56:I64)+I65</f>
        <v>0</v>
      </c>
      <c r="K52" s="105"/>
    </row>
    <row r="53" spans="1:11">
      <c r="I53" s="770"/>
      <c r="J53" s="768"/>
    </row>
    <row r="54" spans="1:11">
      <c r="A54" s="156" t="s">
        <v>427</v>
      </c>
      <c r="B54" s="156"/>
      <c r="C54" s="156"/>
      <c r="D54" s="156"/>
      <c r="E54" s="156"/>
      <c r="F54" s="156"/>
      <c r="G54" s="156"/>
      <c r="H54" s="156"/>
      <c r="I54" s="503"/>
      <c r="J54" s="773"/>
    </row>
    <row r="55" spans="1:11" ht="12.75" customHeight="1">
      <c r="A55" s="552"/>
      <c r="B55" s="552"/>
      <c r="C55" s="552"/>
      <c r="D55" s="552"/>
      <c r="E55" s="552"/>
      <c r="F55" s="552"/>
      <c r="G55" s="552"/>
      <c r="H55" s="552"/>
      <c r="I55" s="770"/>
      <c r="J55" s="768"/>
    </row>
    <row r="56" spans="1:11">
      <c r="A56" t="s">
        <v>467</v>
      </c>
      <c r="C56" t="s">
        <v>468</v>
      </c>
      <c r="I56" s="769">
        <f>+'trial balance'!B56</f>
        <v>0</v>
      </c>
      <c r="J56" s="768"/>
    </row>
    <row r="57" spans="1:11">
      <c r="C57" t="s">
        <v>469</v>
      </c>
      <c r="I57" s="769">
        <f>+'trial balance'!B57</f>
        <v>0</v>
      </c>
      <c r="J57" s="768"/>
    </row>
    <row r="58" spans="1:11">
      <c r="C58" t="s">
        <v>470</v>
      </c>
      <c r="I58" s="769">
        <f>+'trial balance'!B58+'trial balance'!B60</f>
        <v>0</v>
      </c>
      <c r="J58" s="768"/>
    </row>
    <row r="59" spans="1:11">
      <c r="C59" t="s">
        <v>471</v>
      </c>
      <c r="I59" s="769"/>
      <c r="J59" s="768"/>
    </row>
    <row r="60" spans="1:11">
      <c r="C60" t="s">
        <v>472</v>
      </c>
      <c r="I60" s="769">
        <f>+'trial balance'!B62</f>
        <v>0</v>
      </c>
      <c r="J60" s="768"/>
    </row>
    <row r="61" spans="1:11">
      <c r="C61" t="s">
        <v>473</v>
      </c>
      <c r="I61" s="769">
        <f>+'trial balance'!B64</f>
        <v>0</v>
      </c>
      <c r="J61" s="768"/>
    </row>
    <row r="62" spans="1:11">
      <c r="C62" t="s">
        <v>474</v>
      </c>
      <c r="I62" s="769">
        <f>+'trial balance'!B66</f>
        <v>0</v>
      </c>
      <c r="J62" s="768"/>
    </row>
    <row r="63" spans="1:11">
      <c r="C63" t="s">
        <v>475</v>
      </c>
      <c r="D63" s="761"/>
      <c r="I63" s="769"/>
      <c r="J63" s="768"/>
    </row>
    <row r="64" spans="1:11">
      <c r="D64" s="761" t="s">
        <v>476</v>
      </c>
      <c r="I64" s="769">
        <f>+'trial balance'!B68</f>
        <v>0</v>
      </c>
      <c r="J64" s="768"/>
    </row>
    <row r="65" spans="1:12">
      <c r="C65" t="s">
        <v>477</v>
      </c>
      <c r="I65" s="504">
        <f>-'trial balance'!C59-'trial balance'!C61-'trial balance'!C63-'trial balance'!C65-'trial balance'!C67-'trial balance'!C69</f>
        <v>0</v>
      </c>
      <c r="J65" s="586"/>
    </row>
    <row r="66" spans="1:12">
      <c r="B66" t="s">
        <v>478</v>
      </c>
      <c r="I66" s="770"/>
      <c r="J66" s="768">
        <f>SUM(I67:I68)</f>
        <v>0</v>
      </c>
    </row>
    <row r="67" spans="1:12">
      <c r="C67" t="s">
        <v>479</v>
      </c>
      <c r="I67" s="505">
        <f>+'trial balance'!B52-'trial balance'!C53</f>
        <v>0</v>
      </c>
      <c r="J67" s="587"/>
    </row>
    <row r="68" spans="1:12">
      <c r="C68" t="s">
        <v>480</v>
      </c>
      <c r="I68" s="769">
        <f>+'trial balance'!B54</f>
        <v>0</v>
      </c>
      <c r="J68" s="768"/>
    </row>
    <row r="69" spans="1:12">
      <c r="B69" t="s">
        <v>481</v>
      </c>
      <c r="I69" s="770"/>
      <c r="J69" s="772">
        <f>SUM(I70:I72)</f>
        <v>0</v>
      </c>
    </row>
    <row r="70" spans="1:12">
      <c r="C70" t="s">
        <v>482</v>
      </c>
      <c r="I70" s="769">
        <f>+'trial balance'!B76</f>
        <v>0</v>
      </c>
      <c r="J70" s="768"/>
    </row>
    <row r="71" spans="1:12">
      <c r="C71" t="s">
        <v>483</v>
      </c>
      <c r="I71" s="769">
        <f>+'trial balance'!B72+'trial balance'!B73+'trial balance'!B74+'trial balance'!B75+'trial balance'!B77</f>
        <v>0</v>
      </c>
      <c r="J71" s="768"/>
    </row>
    <row r="72" spans="1:12">
      <c r="C72" t="s">
        <v>484</v>
      </c>
      <c r="I72" s="769">
        <f>SUM('trial balance'!B85:B120)</f>
        <v>0</v>
      </c>
      <c r="J72" s="768"/>
    </row>
    <row r="73" spans="1:12">
      <c r="I73" s="769"/>
      <c r="J73" s="768"/>
    </row>
    <row r="74" spans="1:12" s="1" customFormat="1">
      <c r="A74" s="1" t="s">
        <v>485</v>
      </c>
      <c r="I74" s="501"/>
      <c r="J74" s="585">
        <f>+J76+J91+J92+J93+J94+J98+J99+J100</f>
        <v>0</v>
      </c>
      <c r="L74" s="143"/>
    </row>
    <row r="75" spans="1:12">
      <c r="B75" t="s">
        <v>486</v>
      </c>
      <c r="I75" s="770"/>
      <c r="J75" s="768"/>
    </row>
    <row r="76" spans="1:12">
      <c r="C76" t="s">
        <v>487</v>
      </c>
      <c r="I76" s="770"/>
      <c r="J76" s="768">
        <f>SUM(I77:I89)</f>
        <v>0</v>
      </c>
    </row>
    <row r="77" spans="1:12">
      <c r="C77" t="s">
        <v>488</v>
      </c>
      <c r="D77" t="s">
        <v>253</v>
      </c>
      <c r="I77" s="769">
        <f>+'trial balance'!C79</f>
        <v>0</v>
      </c>
      <c r="J77" s="768"/>
    </row>
    <row r="78" spans="1:12">
      <c r="C78" t="s">
        <v>489</v>
      </c>
      <c r="D78" t="s">
        <v>254</v>
      </c>
      <c r="I78" s="769">
        <f>+'trial balance'!C80</f>
        <v>0</v>
      </c>
      <c r="J78" s="768"/>
    </row>
    <row r="79" spans="1:12">
      <c r="C79" t="s">
        <v>490</v>
      </c>
      <c r="D79" t="s">
        <v>255</v>
      </c>
      <c r="I79" s="769">
        <f>+'trial balance'!C81</f>
        <v>0</v>
      </c>
      <c r="J79" s="768"/>
    </row>
    <row r="80" spans="1:12">
      <c r="C80" t="s">
        <v>491</v>
      </c>
      <c r="D80" t="s">
        <v>492</v>
      </c>
      <c r="I80" s="769">
        <f>+'trial balance'!C82</f>
        <v>0</v>
      </c>
      <c r="J80" s="768"/>
    </row>
    <row r="81" spans="1:10">
      <c r="C81" t="s">
        <v>493</v>
      </c>
      <c r="D81" t="s">
        <v>494</v>
      </c>
      <c r="I81" s="769">
        <f>+'trial balance'!C83</f>
        <v>0</v>
      </c>
      <c r="J81" s="768"/>
    </row>
    <row r="82" spans="1:10">
      <c r="C82" t="s">
        <v>495</v>
      </c>
      <c r="D82" t="s">
        <v>258</v>
      </c>
      <c r="I82" s="769">
        <f>+'trial balance'!C84</f>
        <v>0</v>
      </c>
      <c r="J82" s="768"/>
    </row>
    <row r="83" spans="1:10">
      <c r="C83" t="s">
        <v>496</v>
      </c>
      <c r="D83" t="s">
        <v>497</v>
      </c>
      <c r="I83" s="769">
        <f>+'trial balance'!C108</f>
        <v>0</v>
      </c>
      <c r="J83" s="768"/>
    </row>
    <row r="84" spans="1:10">
      <c r="C84" t="s">
        <v>498</v>
      </c>
      <c r="D84" t="s">
        <v>499</v>
      </c>
      <c r="I84" s="769">
        <f>+'trial balance'!C85</f>
        <v>0</v>
      </c>
      <c r="J84" s="768"/>
    </row>
    <row r="85" spans="1:10">
      <c r="C85" t="s">
        <v>500</v>
      </c>
      <c r="D85" t="s">
        <v>501</v>
      </c>
      <c r="I85" s="769">
        <f>+'trial balance'!C110</f>
        <v>0</v>
      </c>
      <c r="J85" s="768"/>
    </row>
    <row r="86" spans="1:10">
      <c r="C86" t="s">
        <v>502</v>
      </c>
      <c r="D86" t="s">
        <v>283</v>
      </c>
      <c r="I86" s="769">
        <f>+'trial balance'!C109</f>
        <v>0</v>
      </c>
      <c r="J86" s="768"/>
    </row>
    <row r="87" spans="1:10">
      <c r="C87" t="s">
        <v>503</v>
      </c>
      <c r="D87" t="s">
        <v>285</v>
      </c>
      <c r="I87" s="769">
        <f>+'trial balance'!C111</f>
        <v>0</v>
      </c>
      <c r="J87" s="768"/>
    </row>
    <row r="88" spans="1:10">
      <c r="C88" t="s">
        <v>504</v>
      </c>
      <c r="D88" t="s">
        <v>505</v>
      </c>
      <c r="I88" s="769"/>
      <c r="J88" s="768"/>
    </row>
    <row r="89" spans="1:10">
      <c r="D89" t="s">
        <v>506</v>
      </c>
      <c r="I89" s="769">
        <f>+'trial balance'!C86</f>
        <v>0</v>
      </c>
      <c r="J89" s="768"/>
    </row>
    <row r="90" spans="1:10">
      <c r="I90" s="770"/>
      <c r="J90" s="768"/>
    </row>
    <row r="91" spans="1:10">
      <c r="B91" t="s">
        <v>507</v>
      </c>
      <c r="C91" t="s">
        <v>508</v>
      </c>
      <c r="I91" s="770"/>
      <c r="J91" s="768">
        <f>SUM('trial balance'!C87:C93)+SUM('trial balance'!C100:C102)</f>
        <v>0</v>
      </c>
    </row>
    <row r="92" spans="1:10">
      <c r="B92" t="s">
        <v>509</v>
      </c>
      <c r="C92" t="s">
        <v>287</v>
      </c>
      <c r="I92" s="770"/>
      <c r="J92" s="768">
        <f>+'trial balance'!C113</f>
        <v>0</v>
      </c>
    </row>
    <row r="93" spans="1:10">
      <c r="B93" t="s">
        <v>510</v>
      </c>
      <c r="C93" t="s">
        <v>286</v>
      </c>
      <c r="I93" s="770"/>
      <c r="J93" s="768">
        <f>+'trial balance'!C112</f>
        <v>0</v>
      </c>
    </row>
    <row r="94" spans="1:10">
      <c r="B94" t="s">
        <v>511</v>
      </c>
      <c r="C94" t="s">
        <v>512</v>
      </c>
      <c r="I94" s="770"/>
      <c r="J94" s="768">
        <f>+'trial balance'!C107</f>
        <v>0</v>
      </c>
    </row>
    <row r="95" spans="1:10">
      <c r="A95" s="1"/>
      <c r="I95" s="770"/>
      <c r="J95" s="774"/>
    </row>
    <row r="96" spans="1:10">
      <c r="A96" s="156" t="s">
        <v>427</v>
      </c>
      <c r="B96" s="156"/>
      <c r="C96" s="156"/>
      <c r="D96" s="156"/>
      <c r="E96" s="156"/>
      <c r="F96" s="156"/>
      <c r="G96" s="156"/>
      <c r="H96" s="156"/>
      <c r="I96" s="503"/>
      <c r="J96" s="773"/>
    </row>
    <row r="97" spans="1:12" ht="12.75" customHeight="1">
      <c r="I97" s="770"/>
      <c r="J97" s="768"/>
    </row>
    <row r="98" spans="1:12">
      <c r="B98" t="s">
        <v>513</v>
      </c>
      <c r="C98" t="s">
        <v>288</v>
      </c>
      <c r="I98" s="770"/>
      <c r="J98" s="768">
        <f>+'trial balance'!C114</f>
        <v>0</v>
      </c>
    </row>
    <row r="99" spans="1:12">
      <c r="B99" t="s">
        <v>514</v>
      </c>
      <c r="C99" t="s">
        <v>295</v>
      </c>
      <c r="I99" s="770"/>
      <c r="J99" s="768">
        <f>+'trial balance'!C122</f>
        <v>0</v>
      </c>
    </row>
    <row r="100" spans="1:12">
      <c r="B100" t="s">
        <v>515</v>
      </c>
      <c r="C100" t="s">
        <v>516</v>
      </c>
      <c r="I100" s="770"/>
      <c r="J100" s="768">
        <f>SUM(I101:I104)</f>
        <v>0</v>
      </c>
    </row>
    <row r="101" spans="1:12">
      <c r="C101" t="s">
        <v>517</v>
      </c>
      <c r="D101" t="s">
        <v>141</v>
      </c>
      <c r="I101" s="769">
        <f>+'trial balance'!C118+'trial balance'!C119</f>
        <v>0</v>
      </c>
      <c r="J101" s="768"/>
    </row>
    <row r="102" spans="1:12">
      <c r="C102" t="s">
        <v>518</v>
      </c>
      <c r="D102" t="s">
        <v>519</v>
      </c>
      <c r="I102" s="769">
        <f>SUM('trial balance'!C94:C99)</f>
        <v>0</v>
      </c>
      <c r="J102" s="768"/>
    </row>
    <row r="103" spans="1:12">
      <c r="C103" t="s">
        <v>520</v>
      </c>
      <c r="D103" t="s">
        <v>521</v>
      </c>
      <c r="I103" s="769">
        <f>SUM('trial balance'!C103:C106)</f>
        <v>0</v>
      </c>
      <c r="J103" s="768"/>
    </row>
    <row r="104" spans="1:12">
      <c r="C104" t="s">
        <v>522</v>
      </c>
      <c r="D104" t="s">
        <v>523</v>
      </c>
      <c r="I104" s="769">
        <f>SUM('trial balance'!C115:C120)-'trial balance'!C118-'trial balance'!C119+SUM('trial balance'!C25:C28)+SUM('trial balance'!C32:C40)+'trial balance'!C45</f>
        <v>0</v>
      </c>
      <c r="J104" s="768"/>
    </row>
    <row r="105" spans="1:12">
      <c r="I105" s="769"/>
      <c r="J105" s="768"/>
    </row>
    <row r="106" spans="1:12" s="1" customFormat="1">
      <c r="A106" s="1" t="s">
        <v>524</v>
      </c>
      <c r="I106" s="501"/>
      <c r="J106" s="585">
        <f>+J112+J116+J117+J119+J120+J124</f>
        <v>0</v>
      </c>
      <c r="L106" s="143"/>
    </row>
    <row r="107" spans="1:12">
      <c r="B107" t="s">
        <v>525</v>
      </c>
      <c r="C107" t="s">
        <v>526</v>
      </c>
      <c r="I107" s="770"/>
      <c r="J107" s="772"/>
    </row>
    <row r="108" spans="1:12">
      <c r="C108" t="s">
        <v>527</v>
      </c>
      <c r="I108" s="770"/>
      <c r="J108" s="772"/>
    </row>
    <row r="109" spans="1:12">
      <c r="C109" s="606"/>
      <c r="D109" s="606"/>
      <c r="E109" s="606"/>
      <c r="F109" s="606"/>
      <c r="G109" s="606"/>
      <c r="H109" s="606"/>
      <c r="I109" s="775"/>
      <c r="J109" s="772"/>
    </row>
    <row r="110" spans="1:12">
      <c r="C110" s="527"/>
      <c r="D110" s="527"/>
      <c r="E110" s="527"/>
      <c r="F110" s="527"/>
      <c r="G110" s="527"/>
      <c r="H110" s="527"/>
      <c r="I110" s="776"/>
      <c r="J110" s="772"/>
    </row>
    <row r="111" spans="1:12">
      <c r="C111" s="527"/>
      <c r="D111" s="527"/>
      <c r="E111" s="527"/>
      <c r="F111" s="527"/>
      <c r="G111" s="527"/>
      <c r="H111" s="527"/>
      <c r="I111" s="776"/>
      <c r="J111" s="772"/>
    </row>
    <row r="112" spans="1:12">
      <c r="B112" t="s">
        <v>528</v>
      </c>
      <c r="C112" t="s">
        <v>529</v>
      </c>
      <c r="I112" s="770"/>
      <c r="J112" s="768">
        <f>SUM(I113:I115)</f>
        <v>0</v>
      </c>
    </row>
    <row r="113" spans="1:12">
      <c r="D113" t="s">
        <v>530</v>
      </c>
      <c r="E113" t="s">
        <v>531</v>
      </c>
      <c r="I113" s="770">
        <f>+'trial balance'!C127+'trial balance'!C129-'trial balance'!B131</f>
        <v>0</v>
      </c>
      <c r="J113" s="772"/>
    </row>
    <row r="114" spans="1:12">
      <c r="D114" t="s">
        <v>532</v>
      </c>
      <c r="E114" t="s">
        <v>533</v>
      </c>
      <c r="I114" s="770">
        <f>+'trial balance'!C126+'trial balance'!C128-'trial balance'!B130</f>
        <v>0</v>
      </c>
      <c r="J114" s="772"/>
    </row>
    <row r="115" spans="1:12">
      <c r="D115" t="s">
        <v>534</v>
      </c>
      <c r="E115" t="s">
        <v>535</v>
      </c>
      <c r="I115" s="770">
        <f>+'trial balance'!C132</f>
        <v>0</v>
      </c>
      <c r="J115" s="772"/>
    </row>
    <row r="116" spans="1:12">
      <c r="B116" t="s">
        <v>536</v>
      </c>
      <c r="C116" t="s">
        <v>305</v>
      </c>
      <c r="I116" s="770"/>
      <c r="J116" s="772">
        <f>+'trial balance'!C134</f>
        <v>0</v>
      </c>
    </row>
    <row r="117" spans="1:12">
      <c r="B117" t="s">
        <v>537</v>
      </c>
      <c r="C117" t="s">
        <v>165</v>
      </c>
      <c r="I117" s="770"/>
      <c r="J117" s="772">
        <f>+'trial balance'!C133</f>
        <v>0</v>
      </c>
    </row>
    <row r="118" spans="1:12">
      <c r="B118" t="s">
        <v>538</v>
      </c>
      <c r="C118" t="s">
        <v>539</v>
      </c>
      <c r="I118" s="770"/>
      <c r="J118" s="772"/>
    </row>
    <row r="119" spans="1:12">
      <c r="C119" t="s">
        <v>540</v>
      </c>
      <c r="I119" s="770"/>
      <c r="J119" s="772">
        <f>+'trial balance'!C142-'trial balance'!B142</f>
        <v>0</v>
      </c>
    </row>
    <row r="120" spans="1:12">
      <c r="B120" s="488" t="s">
        <v>541</v>
      </c>
      <c r="C120" t="s">
        <v>542</v>
      </c>
      <c r="I120" s="770"/>
      <c r="J120" s="772">
        <f>+J163</f>
        <v>0</v>
      </c>
    </row>
    <row r="121" spans="1:12">
      <c r="D121" t="s">
        <v>543</v>
      </c>
      <c r="E121" t="s">
        <v>544</v>
      </c>
      <c r="I121" s="777">
        <f>+Others!D153</f>
        <v>0</v>
      </c>
      <c r="J121" s="768"/>
    </row>
    <row r="122" spans="1:12">
      <c r="D122" t="s">
        <v>545</v>
      </c>
      <c r="E122" t="s">
        <v>546</v>
      </c>
      <c r="I122" s="777">
        <f>+Others!D154</f>
        <v>0</v>
      </c>
      <c r="J122" s="768"/>
      <c r="K122" s="22"/>
    </row>
    <row r="123" spans="1:12">
      <c r="D123" t="s">
        <v>547</v>
      </c>
      <c r="E123" t="s">
        <v>149</v>
      </c>
      <c r="I123" s="777">
        <f>+Others!D155</f>
        <v>0</v>
      </c>
      <c r="J123" s="768"/>
    </row>
    <row r="124" spans="1:12">
      <c r="B124" s="488" t="s">
        <v>548</v>
      </c>
      <c r="C124" t="s">
        <v>549</v>
      </c>
      <c r="I124" s="770"/>
      <c r="J124" s="768">
        <f>+'trial balance'!C144-'trial balance'!B144</f>
        <v>0</v>
      </c>
    </row>
    <row r="125" spans="1:12">
      <c r="I125" s="770"/>
      <c r="J125" s="768"/>
    </row>
    <row r="126" spans="1:12" s="1" customFormat="1" ht="13.5" thickBot="1">
      <c r="A126" s="1" t="s">
        <v>550</v>
      </c>
      <c r="I126" s="501"/>
      <c r="J126" s="588">
        <f>+J74+J106</f>
        <v>0</v>
      </c>
      <c r="L126" s="143"/>
    </row>
    <row r="127" spans="1:12" ht="13.5" thickTop="1">
      <c r="A127" s="2"/>
      <c r="B127" s="2"/>
      <c r="C127" s="2"/>
      <c r="D127" s="2"/>
      <c r="E127" s="2"/>
      <c r="F127" s="2"/>
      <c r="G127" s="2"/>
      <c r="H127" s="2"/>
      <c r="I127" s="506"/>
      <c r="J127" s="778"/>
    </row>
    <row r="128" spans="1:12">
      <c r="I128" s="770"/>
      <c r="J128" s="768"/>
    </row>
    <row r="129" spans="1:12">
      <c r="A129" s="156" t="s">
        <v>551</v>
      </c>
      <c r="B129" s="156"/>
      <c r="C129" s="156"/>
      <c r="D129" s="156"/>
      <c r="E129" s="156"/>
      <c r="F129" s="156"/>
      <c r="G129" s="156"/>
      <c r="H129" s="156"/>
      <c r="I129" s="503"/>
      <c r="J129" s="773"/>
    </row>
    <row r="130" spans="1:12" ht="12.75" customHeight="1">
      <c r="A130" s="552"/>
      <c r="B130" s="552"/>
      <c r="C130" s="552"/>
      <c r="D130" s="552"/>
      <c r="E130" s="552"/>
      <c r="F130" s="552"/>
      <c r="G130" s="552"/>
      <c r="H130" s="552"/>
      <c r="I130" s="770"/>
      <c r="J130" s="768"/>
    </row>
    <row r="131" spans="1:12" s="1" customFormat="1">
      <c r="A131" s="1" t="s">
        <v>552</v>
      </c>
      <c r="I131" s="501"/>
      <c r="J131" s="585">
        <f>SUM(J132:J133)</f>
        <v>0</v>
      </c>
      <c r="K131" s="2"/>
      <c r="L131" s="143"/>
    </row>
    <row r="132" spans="1:12">
      <c r="B132" t="s">
        <v>553</v>
      </c>
      <c r="C132" t="s">
        <v>314</v>
      </c>
      <c r="I132" s="770"/>
      <c r="J132" s="768">
        <f>+'trial balance'!C147</f>
        <v>0</v>
      </c>
    </row>
    <row r="133" spans="1:12">
      <c r="B133" t="s">
        <v>554</v>
      </c>
      <c r="C133" t="s">
        <v>555</v>
      </c>
      <c r="I133" s="770"/>
      <c r="J133" s="768">
        <f>SUM(I134:I140)</f>
        <v>0</v>
      </c>
    </row>
    <row r="134" spans="1:12">
      <c r="D134" s="488" t="s">
        <v>319</v>
      </c>
      <c r="I134" s="770">
        <f>+'trial balance'!C152</f>
        <v>0</v>
      </c>
      <c r="J134" s="768"/>
    </row>
    <row r="135" spans="1:12">
      <c r="D135" s="488" t="s">
        <v>320</v>
      </c>
      <c r="I135" s="770">
        <f>+'trial balance'!C153</f>
        <v>0</v>
      </c>
      <c r="J135" s="768"/>
    </row>
    <row r="136" spans="1:12">
      <c r="D136" s="488" t="s">
        <v>321</v>
      </c>
      <c r="I136" s="770">
        <f>+'trial balance'!C154</f>
        <v>0</v>
      </c>
      <c r="J136" s="768"/>
    </row>
    <row r="137" spans="1:12">
      <c r="D137" s="488" t="s">
        <v>556</v>
      </c>
      <c r="I137" s="770">
        <f>+'trial balance'!C148</f>
        <v>0</v>
      </c>
      <c r="J137" s="768"/>
    </row>
    <row r="138" spans="1:12">
      <c r="D138" s="488" t="s">
        <v>317</v>
      </c>
      <c r="I138" s="770">
        <f>+'trial balance'!C150</f>
        <v>0</v>
      </c>
      <c r="J138" s="768"/>
    </row>
    <row r="139" spans="1:12">
      <c r="D139" s="488" t="s">
        <v>323</v>
      </c>
      <c r="I139" s="770">
        <f>+'trial balance'!C156</f>
        <v>0</v>
      </c>
      <c r="J139" s="768"/>
    </row>
    <row r="140" spans="1:12">
      <c r="D140" s="488" t="s">
        <v>322</v>
      </c>
      <c r="I140" s="770">
        <f>+'trial balance'!C155</f>
        <v>0</v>
      </c>
      <c r="J140" s="768"/>
    </row>
    <row r="141" spans="1:12">
      <c r="D141" s="488"/>
      <c r="I141" s="770"/>
      <c r="J141" s="768"/>
    </row>
    <row r="142" spans="1:12" s="1" customFormat="1">
      <c r="A142" s="1" t="s">
        <v>557</v>
      </c>
      <c r="I142" s="501"/>
      <c r="J142" s="585">
        <f>SUM(I143:I147)</f>
        <v>0</v>
      </c>
      <c r="L142" s="143"/>
    </row>
    <row r="143" spans="1:12">
      <c r="B143" t="s">
        <v>558</v>
      </c>
      <c r="C143" t="s">
        <v>559</v>
      </c>
      <c r="I143" s="770">
        <f>+'trial balance'!B181</f>
        <v>0</v>
      </c>
      <c r="J143" s="768"/>
    </row>
    <row r="144" spans="1:12">
      <c r="B144" t="s">
        <v>507</v>
      </c>
      <c r="C144" t="s">
        <v>560</v>
      </c>
      <c r="I144" s="770">
        <f>SUM('trial balance'!B159:B180)+SUM('trial balance'!B191:B198)</f>
        <v>0</v>
      </c>
      <c r="J144" s="768"/>
    </row>
    <row r="145" spans="1:12">
      <c r="B145" t="s">
        <v>509</v>
      </c>
      <c r="C145" t="s">
        <v>561</v>
      </c>
      <c r="I145" s="770">
        <f>+'trial balance'!B190</f>
        <v>0</v>
      </c>
      <c r="J145" s="768"/>
    </row>
    <row r="146" spans="1:12">
      <c r="B146" t="s">
        <v>510</v>
      </c>
      <c r="C146" t="s">
        <v>562</v>
      </c>
      <c r="I146" s="770">
        <f>SUM('trial balance'!B182:B189)</f>
        <v>0</v>
      </c>
      <c r="J146" s="768"/>
    </row>
    <row r="147" spans="1:12">
      <c r="B147" t="s">
        <v>511</v>
      </c>
      <c r="C147" t="s">
        <v>563</v>
      </c>
      <c r="I147" s="770">
        <f>SUM(I148:I153)</f>
        <v>0</v>
      </c>
      <c r="J147" s="768"/>
    </row>
    <row r="148" spans="1:12">
      <c r="D148" t="s">
        <v>365</v>
      </c>
      <c r="I148" s="770">
        <f>+'trial balance'!B199</f>
        <v>0</v>
      </c>
      <c r="J148" s="768"/>
    </row>
    <row r="149" spans="1:12">
      <c r="D149" t="s">
        <v>324</v>
      </c>
      <c r="I149" s="770">
        <f>+'trial balance'!B157</f>
        <v>0</v>
      </c>
      <c r="J149" s="768"/>
    </row>
    <row r="150" spans="1:12">
      <c r="D150" t="s">
        <v>316</v>
      </c>
      <c r="I150" s="770">
        <f>+'trial balance'!B149</f>
        <v>0</v>
      </c>
      <c r="J150" s="768"/>
    </row>
    <row r="151" spans="1:12">
      <c r="D151" t="s">
        <v>318</v>
      </c>
      <c r="I151" s="770">
        <f>+'trial balance'!B151</f>
        <v>0</v>
      </c>
      <c r="J151" s="768"/>
    </row>
    <row r="152" spans="1:12">
      <c r="D152" t="s">
        <v>564</v>
      </c>
      <c r="I152" s="770">
        <f>+'trial balance'!B200</f>
        <v>0</v>
      </c>
      <c r="J152" s="768"/>
    </row>
    <row r="153" spans="1:12">
      <c r="D153" t="s">
        <v>368</v>
      </c>
      <c r="I153" s="770">
        <f>+'trial balance'!B202</f>
        <v>0</v>
      </c>
      <c r="J153" s="768"/>
    </row>
    <row r="154" spans="1:12">
      <c r="I154" s="770"/>
      <c r="J154" s="768"/>
    </row>
    <row r="155" spans="1:12" s="1" customFormat="1">
      <c r="A155" s="1" t="s">
        <v>565</v>
      </c>
      <c r="I155" s="501"/>
      <c r="J155" s="585">
        <f>+J131-J142</f>
        <v>0</v>
      </c>
      <c r="L155" s="143"/>
    </row>
    <row r="156" spans="1:12">
      <c r="A156" s="1" t="s">
        <v>566</v>
      </c>
      <c r="I156" s="770"/>
      <c r="J156" s="768"/>
    </row>
    <row r="157" spans="1:12">
      <c r="A157" t="s">
        <v>567</v>
      </c>
      <c r="B157" s="1"/>
      <c r="I157" s="770"/>
      <c r="J157" s="768">
        <f>+'trial balance'!B201</f>
        <v>0</v>
      </c>
    </row>
    <row r="158" spans="1:12" s="1" customFormat="1">
      <c r="A158" s="1" t="s">
        <v>568</v>
      </c>
      <c r="I158" s="501"/>
      <c r="J158" s="589">
        <f>+J155-J157</f>
        <v>0</v>
      </c>
      <c r="L158" s="143"/>
    </row>
    <row r="159" spans="1:12" s="1" customFormat="1">
      <c r="A159" s="1" t="s">
        <v>569</v>
      </c>
      <c r="I159" s="501"/>
      <c r="J159" s="585">
        <f>+'trial balance'!C135-'trial balance'!B135</f>
        <v>0</v>
      </c>
      <c r="L159" s="143"/>
    </row>
    <row r="160" spans="1:12">
      <c r="A160" s="1" t="s">
        <v>570</v>
      </c>
      <c r="I160" s="770"/>
      <c r="J160" s="768"/>
    </row>
    <row r="161" spans="1:12">
      <c r="A161" s="488"/>
      <c r="B161" t="s">
        <v>571</v>
      </c>
      <c r="C161" s="1"/>
      <c r="I161" s="770"/>
      <c r="J161" s="787"/>
    </row>
    <row r="162" spans="1:12">
      <c r="A162" s="1"/>
      <c r="B162" t="s">
        <v>572</v>
      </c>
      <c r="I162" s="770"/>
      <c r="J162" s="787"/>
    </row>
    <row r="163" spans="1:12" s="1" customFormat="1" ht="13.5" thickBot="1">
      <c r="A163" s="1" t="s">
        <v>573</v>
      </c>
      <c r="I163" s="501"/>
      <c r="J163" s="588">
        <f>SUM(J158:J162)</f>
        <v>0</v>
      </c>
      <c r="L163" s="143"/>
    </row>
    <row r="164" spans="1:12" ht="13.5" thickTop="1">
      <c r="I164" s="770"/>
      <c r="J164" s="765"/>
    </row>
    <row r="165" spans="1:12">
      <c r="A165" s="1"/>
      <c r="B165" s="1"/>
      <c r="C165" s="1"/>
      <c r="D165" s="1"/>
      <c r="E165" s="1"/>
      <c r="F165" s="1"/>
      <c r="G165" s="1"/>
      <c r="H165" s="1"/>
      <c r="I165" s="1"/>
      <c r="J165" s="774"/>
    </row>
    <row r="174" spans="1:12">
      <c r="I174" s="488"/>
      <c r="J174" s="765"/>
    </row>
    <row r="175" spans="1:12" ht="12.75" customHeight="1">
      <c r="I175" s="488"/>
      <c r="J175" s="765"/>
    </row>
    <row r="176" spans="1:12" ht="12.75" customHeight="1">
      <c r="I176" s="488"/>
      <c r="J176" s="765"/>
    </row>
    <row r="177" spans="9:10" ht="13.5" customHeight="1">
      <c r="I177" s="488"/>
      <c r="J177" s="765"/>
    </row>
    <row r="178" spans="9:10">
      <c r="I178" s="488"/>
      <c r="J178" s="765"/>
    </row>
  </sheetData>
  <sheetProtection password="9399" sheet="1"/>
  <protectedRanges>
    <protectedRange sqref="J161:J162" name="Range1"/>
  </protectedRanges>
  <customSheetViews>
    <customSheetView guid="{504CC784-4394-4648-B9CE-DFC32001696E}" showGridLines="0" hiddenRows="1" showRuler="0">
      <pane ySplit="3" topLeftCell="A111" activePane="bottomLeft" state="frozen"/>
      <selection pane="bottomLeft" activeCell="I115" sqref="I115"/>
      <pageMargins left="0" right="0" top="0" bottom="0" header="0" footer="0"/>
      <pageSetup orientation="portrait" r:id="rId1"/>
      <headerFooter alignWithMargins="0"/>
    </customSheetView>
  </customSheetViews>
  <phoneticPr fontId="22" type="noConversion"/>
  <hyperlinks>
    <hyperlink ref="I65" r:id="rId2" display="-@SUM('trial balance'!C61:C77" xr:uid="{FE188EB1-47A5-407A-BE2A-272A35AE13D8}"/>
  </hyperlinks>
  <pageMargins left="0.75" right="0.75" top="0.5" bottom="0.42" header="0.5" footer="0.5"/>
  <pageSetup scale="97" orientation="portrait" r:id="rId3"/>
  <headerFooter alignWithMargins="0">
    <oddFooter>&amp;C&amp;P of &amp;N&amp;R&amp;A</oddFooter>
  </headerFooter>
  <rowBreaks count="3" manualBreakCount="3">
    <brk id="53" max="9" man="1"/>
    <brk id="95" max="9" man="1"/>
    <brk id="127" max="9" man="1"/>
  </rowBreaks>
  <colBreaks count="1" manualBreakCount="1">
    <brk id="10" max="165" man="1"/>
  </colBreaks>
  <ignoredErrors>
    <ignoredError sqref="I102:I103 I146" formulaRange="1"/>
  </ignoredError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9" r:id="rId6" name="Button 7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3</xdr:col>
                    <xdr:colOff>333375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7" name="Button 8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3</xdr:col>
                    <xdr:colOff>333375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1B9A-2514-4CC7-B3C6-456B899112AB}">
  <sheetPr codeName="Sheet10">
    <pageSetUpPr fitToPage="1"/>
  </sheetPr>
  <dimension ref="A1:J57"/>
  <sheetViews>
    <sheetView showGridLines="0" zoomScaleNormal="100" zoomScaleSheetLayoutView="100" workbookViewId="0">
      <pane xSplit="1" ySplit="3" topLeftCell="B4" activePane="bottomRight" state="frozen"/>
      <selection pane="bottomRight" activeCell="G8" sqref="G8"/>
      <selection pane="bottomLeft" activeCell="G2" sqref="G2"/>
      <selection pane="topRight" activeCell="G2" sqref="G2"/>
    </sheetView>
  </sheetViews>
  <sheetFormatPr defaultColWidth="9.28515625" defaultRowHeight="12.75"/>
  <cols>
    <col min="1" max="1" width="2.7109375" style="146" customWidth="1"/>
    <col min="2" max="2" width="29.28515625" style="146" customWidth="1"/>
    <col min="3" max="3" width="15.28515625" style="217" customWidth="1"/>
    <col min="4" max="4" width="0.28515625" style="146" hidden="1" customWidth="1"/>
    <col min="5" max="5" width="12.28515625" style="146" customWidth="1"/>
    <col min="6" max="7" width="14.7109375" style="147" customWidth="1"/>
    <col min="8" max="8" width="16.28515625" style="147" customWidth="1"/>
    <col min="9" max="9" width="9.28515625" style="146"/>
    <col min="10" max="10" width="9.28515625" style="205"/>
    <col min="11" max="16384" width="9.28515625" style="146"/>
  </cols>
  <sheetData>
    <row r="1" spans="1:10" s="11" customFormat="1" ht="15">
      <c r="B1" s="265" t="str">
        <f>+'trial balance'!A1</f>
        <v>NAME OF THE TRADING PARTICIPANT</v>
      </c>
      <c r="C1" s="285"/>
      <c r="D1" s="266"/>
      <c r="E1" s="266"/>
      <c r="F1" s="266"/>
      <c r="G1" s="266"/>
      <c r="H1" s="266"/>
      <c r="J1" s="549"/>
    </row>
    <row r="2" spans="1:10" s="11" customFormat="1" ht="15">
      <c r="B2" s="267" t="s">
        <v>574</v>
      </c>
      <c r="C2" s="286"/>
      <c r="D2" s="267"/>
      <c r="E2" s="267"/>
      <c r="F2" s="267"/>
      <c r="G2" s="267"/>
      <c r="H2" s="267"/>
      <c r="J2" s="549"/>
    </row>
    <row r="3" spans="1:10" s="11" customFormat="1" ht="15">
      <c r="B3" s="212" t="str">
        <f>+'trial balance'!A3</f>
        <v>mm/dd/yyyy</v>
      </c>
      <c r="C3" s="285"/>
      <c r="D3" s="212"/>
      <c r="E3" s="212"/>
      <c r="F3" s="212"/>
      <c r="G3" s="212"/>
      <c r="H3" s="212"/>
      <c r="J3" s="549"/>
    </row>
    <row r="4" spans="1:10" s="11" customFormat="1" ht="15">
      <c r="B4" s="12"/>
      <c r="C4" s="287"/>
      <c r="D4" s="12"/>
      <c r="E4" s="12"/>
      <c r="F4" s="177"/>
      <c r="G4" s="177"/>
      <c r="H4" s="177"/>
      <c r="J4" s="549"/>
    </row>
    <row r="5" spans="1:10" s="151" customFormat="1" ht="25.5">
      <c r="C5" s="451"/>
      <c r="F5" s="452" t="s">
        <v>575</v>
      </c>
      <c r="G5" s="452" t="s">
        <v>576</v>
      </c>
      <c r="H5" s="452" t="s">
        <v>577</v>
      </c>
      <c r="J5" s="550"/>
    </row>
    <row r="6" spans="1:10" customFormat="1">
      <c r="C6" t="s">
        <v>578</v>
      </c>
      <c r="F6" s="333">
        <f>F56</f>
        <v>0</v>
      </c>
      <c r="G6" s="333">
        <f>+H56</f>
        <v>0</v>
      </c>
      <c r="H6" s="333">
        <f>F6-G6</f>
        <v>0</v>
      </c>
      <c r="J6" s="193"/>
    </row>
    <row r="7" spans="1:10" customFormat="1">
      <c r="C7" t="s">
        <v>579</v>
      </c>
      <c r="F7" s="337">
        <f>'MS-Others'!F161</f>
        <v>0</v>
      </c>
      <c r="G7" s="337">
        <f>'MS-Others'!H161</f>
        <v>0</v>
      </c>
      <c r="H7" s="337">
        <f>F7-G7</f>
        <v>0</v>
      </c>
      <c r="J7" s="193"/>
    </row>
    <row r="8" spans="1:10" customFormat="1">
      <c r="C8" t="s">
        <v>580</v>
      </c>
      <c r="F8" s="457">
        <f>SUM(F6:F7)</f>
        <v>0</v>
      </c>
      <c r="G8" s="457">
        <f>SUM(G6:G7)</f>
        <v>0</v>
      </c>
      <c r="H8" s="457">
        <f>F8-G8</f>
        <v>0</v>
      </c>
      <c r="J8" s="143"/>
    </row>
    <row r="9" spans="1:10" customFormat="1">
      <c r="C9" t="s">
        <v>581</v>
      </c>
      <c r="F9" s="455">
        <f>'MS-Others'!F175</f>
        <v>0</v>
      </c>
      <c r="G9" s="455">
        <f>'MS-Others'!H175</f>
        <v>0</v>
      </c>
      <c r="H9" s="455">
        <f>F9-G9</f>
        <v>0</v>
      </c>
      <c r="J9" s="193"/>
    </row>
    <row r="10" spans="1:10" customFormat="1" ht="13.5" thickBot="1">
      <c r="C10" s="253"/>
      <c r="F10" s="456">
        <f>F8+F9</f>
        <v>0</v>
      </c>
      <c r="G10" s="456">
        <f>G8+G9</f>
        <v>0</v>
      </c>
      <c r="H10" s="456">
        <f>H8+H9</f>
        <v>0</v>
      </c>
      <c r="J10" s="193"/>
    </row>
    <row r="11" spans="1:10" customFormat="1" ht="13.5" thickTop="1">
      <c r="C11" s="253"/>
      <c r="F11" s="178"/>
      <c r="G11" s="178"/>
      <c r="H11" s="178"/>
      <c r="J11" s="193"/>
    </row>
    <row r="12" spans="1:10" s="2" customFormat="1">
      <c r="C12" s="288"/>
      <c r="F12" s="179"/>
      <c r="G12" s="179" t="s">
        <v>576</v>
      </c>
      <c r="H12" s="179" t="s">
        <v>582</v>
      </c>
      <c r="J12" s="551"/>
    </row>
    <row r="13" spans="1:10" s="2" customFormat="1" ht="13.5" thickBot="1">
      <c r="B13" s="13" t="s">
        <v>583</v>
      </c>
      <c r="C13" s="289" t="s">
        <v>584</v>
      </c>
      <c r="D13" s="13"/>
      <c r="E13" s="13" t="s">
        <v>585</v>
      </c>
      <c r="F13" s="180" t="s">
        <v>586</v>
      </c>
      <c r="G13" s="180" t="s">
        <v>587</v>
      </c>
      <c r="H13" s="180" t="s">
        <v>588</v>
      </c>
      <c r="J13" s="551"/>
    </row>
    <row r="15" spans="1:10">
      <c r="B15" s="153" t="s">
        <v>578</v>
      </c>
    </row>
    <row r="16" spans="1:10">
      <c r="A16" s="146">
        <v>1</v>
      </c>
      <c r="B16" s="279"/>
      <c r="C16" s="290"/>
      <c r="D16" s="278"/>
      <c r="E16" s="279"/>
      <c r="F16" s="334">
        <f t="shared" ref="F16:F48" si="0">+C16*E16</f>
        <v>0</v>
      </c>
      <c r="G16" s="279"/>
      <c r="H16" s="334">
        <f t="shared" ref="H16:H48" si="1">+C16*G16</f>
        <v>0</v>
      </c>
    </row>
    <row r="17" spans="1:8">
      <c r="A17" s="146">
        <v>2</v>
      </c>
      <c r="B17" s="281"/>
      <c r="C17" s="291"/>
      <c r="D17" s="280"/>
      <c r="E17" s="281"/>
      <c r="F17" s="335">
        <f t="shared" si="0"/>
        <v>0</v>
      </c>
      <c r="G17" s="281"/>
      <c r="H17" s="335">
        <f t="shared" si="1"/>
        <v>0</v>
      </c>
    </row>
    <row r="18" spans="1:8">
      <c r="A18" s="146">
        <v>3</v>
      </c>
      <c r="B18" s="281"/>
      <c r="C18" s="291"/>
      <c r="D18" s="280"/>
      <c r="E18" s="281"/>
      <c r="F18" s="335">
        <f t="shared" si="0"/>
        <v>0</v>
      </c>
      <c r="G18" s="281"/>
      <c r="H18" s="335">
        <f t="shared" si="1"/>
        <v>0</v>
      </c>
    </row>
    <row r="19" spans="1:8">
      <c r="A19" s="146">
        <v>4</v>
      </c>
      <c r="B19" s="281"/>
      <c r="C19" s="291"/>
      <c r="D19" s="280"/>
      <c r="E19" s="281"/>
      <c r="F19" s="335">
        <f t="shared" si="0"/>
        <v>0</v>
      </c>
      <c r="G19" s="281"/>
      <c r="H19" s="335">
        <f t="shared" si="1"/>
        <v>0</v>
      </c>
    </row>
    <row r="20" spans="1:8">
      <c r="A20" s="146">
        <v>5</v>
      </c>
      <c r="B20" s="281"/>
      <c r="C20" s="291"/>
      <c r="D20" s="280"/>
      <c r="E20" s="281"/>
      <c r="F20" s="335">
        <f t="shared" si="0"/>
        <v>0</v>
      </c>
      <c r="G20" s="281"/>
      <c r="H20" s="335">
        <f t="shared" si="1"/>
        <v>0</v>
      </c>
    </row>
    <row r="21" spans="1:8">
      <c r="A21" s="146">
        <v>6</v>
      </c>
      <c r="B21" s="281"/>
      <c r="C21" s="291"/>
      <c r="D21" s="280"/>
      <c r="E21" s="281"/>
      <c r="F21" s="335">
        <f t="shared" si="0"/>
        <v>0</v>
      </c>
      <c r="G21" s="281"/>
      <c r="H21" s="335">
        <f t="shared" si="1"/>
        <v>0</v>
      </c>
    </row>
    <row r="22" spans="1:8">
      <c r="A22" s="146">
        <v>7</v>
      </c>
      <c r="B22" s="281"/>
      <c r="C22" s="291"/>
      <c r="D22" s="280"/>
      <c r="E22" s="281"/>
      <c r="F22" s="335">
        <f t="shared" si="0"/>
        <v>0</v>
      </c>
      <c r="G22" s="281"/>
      <c r="H22" s="335">
        <f t="shared" si="1"/>
        <v>0</v>
      </c>
    </row>
    <row r="23" spans="1:8">
      <c r="A23" s="146">
        <v>8</v>
      </c>
      <c r="B23" s="281"/>
      <c r="C23" s="291"/>
      <c r="D23" s="280"/>
      <c r="E23" s="281"/>
      <c r="F23" s="335">
        <f t="shared" si="0"/>
        <v>0</v>
      </c>
      <c r="G23" s="281"/>
      <c r="H23" s="335">
        <f t="shared" si="1"/>
        <v>0</v>
      </c>
    </row>
    <row r="24" spans="1:8">
      <c r="A24" s="146">
        <v>9</v>
      </c>
      <c r="B24" s="281"/>
      <c r="C24" s="291"/>
      <c r="D24" s="280"/>
      <c r="E24" s="281"/>
      <c r="F24" s="335">
        <f t="shared" si="0"/>
        <v>0</v>
      </c>
      <c r="G24" s="281"/>
      <c r="H24" s="335">
        <f t="shared" si="1"/>
        <v>0</v>
      </c>
    </row>
    <row r="25" spans="1:8">
      <c r="A25" s="146">
        <v>10</v>
      </c>
      <c r="B25" s="281"/>
      <c r="C25" s="291"/>
      <c r="D25" s="280"/>
      <c r="E25" s="281"/>
      <c r="F25" s="335">
        <f t="shared" si="0"/>
        <v>0</v>
      </c>
      <c r="G25" s="281"/>
      <c r="H25" s="335">
        <f t="shared" si="1"/>
        <v>0</v>
      </c>
    </row>
    <row r="26" spans="1:8">
      <c r="A26" s="146">
        <v>11</v>
      </c>
      <c r="B26" s="281"/>
      <c r="C26" s="291"/>
      <c r="D26" s="280"/>
      <c r="E26" s="281"/>
      <c r="F26" s="335">
        <f t="shared" si="0"/>
        <v>0</v>
      </c>
      <c r="G26" s="281"/>
      <c r="H26" s="335">
        <f t="shared" si="1"/>
        <v>0</v>
      </c>
    </row>
    <row r="27" spans="1:8">
      <c r="A27" s="146">
        <v>12</v>
      </c>
      <c r="B27" s="281"/>
      <c r="C27" s="291"/>
      <c r="D27" s="280"/>
      <c r="E27" s="281"/>
      <c r="F27" s="335">
        <f t="shared" si="0"/>
        <v>0</v>
      </c>
      <c r="G27" s="281"/>
      <c r="H27" s="335">
        <f t="shared" si="1"/>
        <v>0</v>
      </c>
    </row>
    <row r="28" spans="1:8">
      <c r="A28" s="146">
        <v>13</v>
      </c>
      <c r="B28" s="281"/>
      <c r="C28" s="291"/>
      <c r="D28" s="280"/>
      <c r="E28" s="281"/>
      <c r="F28" s="335">
        <f t="shared" si="0"/>
        <v>0</v>
      </c>
      <c r="G28" s="281"/>
      <c r="H28" s="335">
        <f t="shared" si="1"/>
        <v>0</v>
      </c>
    </row>
    <row r="29" spans="1:8">
      <c r="A29" s="146">
        <v>14</v>
      </c>
      <c r="B29" s="281"/>
      <c r="C29" s="291"/>
      <c r="D29" s="280"/>
      <c r="E29" s="281"/>
      <c r="F29" s="335">
        <f t="shared" si="0"/>
        <v>0</v>
      </c>
      <c r="G29" s="281"/>
      <c r="H29" s="335">
        <f t="shared" si="1"/>
        <v>0</v>
      </c>
    </row>
    <row r="30" spans="1:8">
      <c r="A30" s="146">
        <v>15</v>
      </c>
      <c r="B30" s="281"/>
      <c r="C30" s="291"/>
      <c r="D30" s="280"/>
      <c r="E30" s="281"/>
      <c r="F30" s="335">
        <f t="shared" si="0"/>
        <v>0</v>
      </c>
      <c r="G30" s="281"/>
      <c r="H30" s="335">
        <f t="shared" si="1"/>
        <v>0</v>
      </c>
    </row>
    <row r="31" spans="1:8">
      <c r="A31" s="146">
        <v>16</v>
      </c>
      <c r="B31" s="281"/>
      <c r="C31" s="291"/>
      <c r="D31" s="280"/>
      <c r="E31" s="281"/>
      <c r="F31" s="335">
        <f t="shared" si="0"/>
        <v>0</v>
      </c>
      <c r="G31" s="281"/>
      <c r="H31" s="335">
        <f t="shared" si="1"/>
        <v>0</v>
      </c>
    </row>
    <row r="32" spans="1:8">
      <c r="A32" s="146">
        <v>17</v>
      </c>
      <c r="B32" s="281"/>
      <c r="C32" s="291"/>
      <c r="D32" s="280"/>
      <c r="E32" s="281"/>
      <c r="F32" s="335">
        <f t="shared" si="0"/>
        <v>0</v>
      </c>
      <c r="G32" s="281"/>
      <c r="H32" s="335">
        <f t="shared" si="1"/>
        <v>0</v>
      </c>
    </row>
    <row r="33" spans="1:8">
      <c r="A33" s="146">
        <v>18</v>
      </c>
      <c r="B33" s="281"/>
      <c r="C33" s="291"/>
      <c r="D33" s="280"/>
      <c r="E33" s="281"/>
      <c r="F33" s="335">
        <f t="shared" si="0"/>
        <v>0</v>
      </c>
      <c r="G33" s="281"/>
      <c r="H33" s="335">
        <f t="shared" si="1"/>
        <v>0</v>
      </c>
    </row>
    <row r="34" spans="1:8">
      <c r="A34" s="146">
        <v>19</v>
      </c>
      <c r="B34" s="281"/>
      <c r="C34" s="291"/>
      <c r="D34" s="280"/>
      <c r="E34" s="281"/>
      <c r="F34" s="335">
        <f t="shared" si="0"/>
        <v>0</v>
      </c>
      <c r="G34" s="281"/>
      <c r="H34" s="335">
        <f t="shared" si="1"/>
        <v>0</v>
      </c>
    </row>
    <row r="35" spans="1:8">
      <c r="A35" s="146">
        <v>20</v>
      </c>
      <c r="B35" s="281"/>
      <c r="C35" s="291"/>
      <c r="D35" s="280"/>
      <c r="E35" s="281"/>
      <c r="F35" s="335">
        <f t="shared" si="0"/>
        <v>0</v>
      </c>
      <c r="G35" s="281"/>
      <c r="H35" s="335">
        <f t="shared" si="1"/>
        <v>0</v>
      </c>
    </row>
    <row r="36" spans="1:8">
      <c r="A36" s="146">
        <v>21</v>
      </c>
      <c r="B36" s="281"/>
      <c r="C36" s="291"/>
      <c r="D36" s="280"/>
      <c r="E36" s="281"/>
      <c r="F36" s="335">
        <f t="shared" si="0"/>
        <v>0</v>
      </c>
      <c r="G36" s="281"/>
      <c r="H36" s="335">
        <f t="shared" si="1"/>
        <v>0</v>
      </c>
    </row>
    <row r="37" spans="1:8">
      <c r="A37" s="146">
        <v>22</v>
      </c>
      <c r="B37" s="281"/>
      <c r="C37" s="291"/>
      <c r="D37" s="280"/>
      <c r="E37" s="281"/>
      <c r="F37" s="335">
        <f t="shared" si="0"/>
        <v>0</v>
      </c>
      <c r="G37" s="281"/>
      <c r="H37" s="335">
        <f t="shared" si="1"/>
        <v>0</v>
      </c>
    </row>
    <row r="38" spans="1:8">
      <c r="A38" s="146">
        <v>23</v>
      </c>
      <c r="B38" s="281"/>
      <c r="C38" s="291"/>
      <c r="D38" s="280"/>
      <c r="E38" s="281"/>
      <c r="F38" s="335">
        <f t="shared" si="0"/>
        <v>0</v>
      </c>
      <c r="G38" s="281"/>
      <c r="H38" s="335">
        <f t="shared" si="1"/>
        <v>0</v>
      </c>
    </row>
    <row r="39" spans="1:8">
      <c r="A39" s="146">
        <v>24</v>
      </c>
      <c r="B39" s="281"/>
      <c r="C39" s="291"/>
      <c r="D39" s="280"/>
      <c r="E39" s="281"/>
      <c r="F39" s="335">
        <f t="shared" si="0"/>
        <v>0</v>
      </c>
      <c r="G39" s="281"/>
      <c r="H39" s="335">
        <f t="shared" si="1"/>
        <v>0</v>
      </c>
    </row>
    <row r="40" spans="1:8">
      <c r="A40" s="146">
        <v>25</v>
      </c>
      <c r="B40" s="281"/>
      <c r="C40" s="291"/>
      <c r="D40" s="280"/>
      <c r="E40" s="281"/>
      <c r="F40" s="335">
        <f t="shared" si="0"/>
        <v>0</v>
      </c>
      <c r="G40" s="281"/>
      <c r="H40" s="335">
        <f t="shared" si="1"/>
        <v>0</v>
      </c>
    </row>
    <row r="41" spans="1:8">
      <c r="A41" s="146">
        <v>26</v>
      </c>
      <c r="B41" s="281"/>
      <c r="C41" s="291"/>
      <c r="D41" s="280"/>
      <c r="E41" s="281"/>
      <c r="F41" s="335">
        <f t="shared" si="0"/>
        <v>0</v>
      </c>
      <c r="G41" s="281"/>
      <c r="H41" s="335">
        <f t="shared" si="1"/>
        <v>0</v>
      </c>
    </row>
    <row r="42" spans="1:8">
      <c r="A42" s="146">
        <v>27</v>
      </c>
      <c r="B42" s="281"/>
      <c r="C42" s="291"/>
      <c r="D42" s="280"/>
      <c r="E42" s="281"/>
      <c r="F42" s="335">
        <f t="shared" si="0"/>
        <v>0</v>
      </c>
      <c r="G42" s="281"/>
      <c r="H42" s="335">
        <f t="shared" si="1"/>
        <v>0</v>
      </c>
    </row>
    <row r="43" spans="1:8">
      <c r="A43" s="146">
        <v>28</v>
      </c>
      <c r="B43" s="281"/>
      <c r="C43" s="291"/>
      <c r="D43" s="280"/>
      <c r="E43" s="281"/>
      <c r="F43" s="335">
        <f t="shared" si="0"/>
        <v>0</v>
      </c>
      <c r="G43" s="281"/>
      <c r="H43" s="335">
        <f t="shared" si="1"/>
        <v>0</v>
      </c>
    </row>
    <row r="44" spans="1:8">
      <c r="A44" s="146">
        <v>29</v>
      </c>
      <c r="B44" s="281"/>
      <c r="C44" s="291"/>
      <c r="D44" s="280"/>
      <c r="E44" s="281"/>
      <c r="F44" s="335">
        <f t="shared" si="0"/>
        <v>0</v>
      </c>
      <c r="G44" s="281"/>
      <c r="H44" s="335">
        <f t="shared" si="1"/>
        <v>0</v>
      </c>
    </row>
    <row r="45" spans="1:8">
      <c r="A45" s="146">
        <v>30</v>
      </c>
      <c r="B45" s="281"/>
      <c r="C45" s="291"/>
      <c r="D45" s="280"/>
      <c r="E45" s="281"/>
      <c r="F45" s="335">
        <f t="shared" si="0"/>
        <v>0</v>
      </c>
      <c r="G45" s="281"/>
      <c r="H45" s="335">
        <f t="shared" si="1"/>
        <v>0</v>
      </c>
    </row>
    <row r="46" spans="1:8">
      <c r="A46" s="146">
        <v>31</v>
      </c>
      <c r="B46" s="281"/>
      <c r="C46" s="291"/>
      <c r="D46" s="280"/>
      <c r="E46" s="281"/>
      <c r="F46" s="335">
        <f t="shared" si="0"/>
        <v>0</v>
      </c>
      <c r="G46" s="281"/>
      <c r="H46" s="335">
        <f t="shared" si="1"/>
        <v>0</v>
      </c>
    </row>
    <row r="47" spans="1:8">
      <c r="A47" s="146">
        <v>32</v>
      </c>
      <c r="B47" s="281"/>
      <c r="C47" s="291"/>
      <c r="D47" s="280"/>
      <c r="E47" s="281"/>
      <c r="F47" s="335">
        <f t="shared" si="0"/>
        <v>0</v>
      </c>
      <c r="G47" s="281"/>
      <c r="H47" s="335">
        <f t="shared" si="1"/>
        <v>0</v>
      </c>
    </row>
    <row r="48" spans="1:8">
      <c r="A48" s="146">
        <v>33</v>
      </c>
      <c r="B48" s="281"/>
      <c r="C48" s="291"/>
      <c r="D48" s="280"/>
      <c r="E48" s="281"/>
      <c r="F48" s="335">
        <f t="shared" si="0"/>
        <v>0</v>
      </c>
      <c r="G48" s="281"/>
      <c r="H48" s="335">
        <f t="shared" si="1"/>
        <v>0</v>
      </c>
    </row>
    <row r="49" spans="1:10">
      <c r="A49" s="146">
        <v>34</v>
      </c>
      <c r="B49" s="281"/>
      <c r="C49" s="291"/>
      <c r="D49" s="280"/>
      <c r="E49" s="281"/>
      <c r="F49" s="335">
        <f t="shared" ref="F49:F55" si="2">+C49*E49</f>
        <v>0</v>
      </c>
      <c r="G49" s="281"/>
      <c r="H49" s="335">
        <f t="shared" ref="H49:H55" si="3">+C49*G49</f>
        <v>0</v>
      </c>
    </row>
    <row r="50" spans="1:10">
      <c r="A50" s="146">
        <v>35</v>
      </c>
      <c r="B50" s="281"/>
      <c r="C50" s="291"/>
      <c r="D50" s="280"/>
      <c r="E50" s="281"/>
      <c r="F50" s="335">
        <f t="shared" si="2"/>
        <v>0</v>
      </c>
      <c r="G50" s="281"/>
      <c r="H50" s="335">
        <f t="shared" si="3"/>
        <v>0</v>
      </c>
    </row>
    <row r="51" spans="1:10">
      <c r="A51" s="146">
        <v>36</v>
      </c>
      <c r="B51" s="281"/>
      <c r="C51" s="291"/>
      <c r="D51" s="280"/>
      <c r="E51" s="281"/>
      <c r="F51" s="335">
        <f t="shared" si="2"/>
        <v>0</v>
      </c>
      <c r="G51" s="281"/>
      <c r="H51" s="335">
        <f t="shared" si="3"/>
        <v>0</v>
      </c>
    </row>
    <row r="52" spans="1:10">
      <c r="A52" s="146">
        <v>37</v>
      </c>
      <c r="B52" s="281"/>
      <c r="C52" s="291"/>
      <c r="D52" s="280"/>
      <c r="E52" s="281"/>
      <c r="F52" s="335">
        <f t="shared" si="2"/>
        <v>0</v>
      </c>
      <c r="G52" s="281"/>
      <c r="H52" s="335">
        <f t="shared" si="3"/>
        <v>0</v>
      </c>
    </row>
    <row r="53" spans="1:10">
      <c r="A53" s="146">
        <v>38</v>
      </c>
      <c r="B53" s="281"/>
      <c r="C53" s="291"/>
      <c r="D53" s="280"/>
      <c r="E53" s="281"/>
      <c r="F53" s="335">
        <f t="shared" si="2"/>
        <v>0</v>
      </c>
      <c r="G53" s="281"/>
      <c r="H53" s="335">
        <f t="shared" si="3"/>
        <v>0</v>
      </c>
    </row>
    <row r="54" spans="1:10">
      <c r="A54" s="146">
        <v>39</v>
      </c>
      <c r="B54" s="281"/>
      <c r="C54" s="291"/>
      <c r="D54" s="280"/>
      <c r="E54" s="281"/>
      <c r="F54" s="335">
        <f t="shared" si="2"/>
        <v>0</v>
      </c>
      <c r="G54" s="281"/>
      <c r="H54" s="335">
        <f t="shared" si="3"/>
        <v>0</v>
      </c>
    </row>
    <row r="55" spans="1:10">
      <c r="A55" s="146">
        <v>40</v>
      </c>
      <c r="B55" s="283"/>
      <c r="C55" s="292"/>
      <c r="D55" s="282"/>
      <c r="E55" s="283"/>
      <c r="F55" s="336">
        <f t="shared" si="2"/>
        <v>0</v>
      </c>
      <c r="G55" s="283"/>
      <c r="H55" s="336">
        <f t="shared" si="3"/>
        <v>0</v>
      </c>
    </row>
    <row r="56" spans="1:10" s="1" customFormat="1" ht="13.5" thickBot="1">
      <c r="B56" s="1" t="s">
        <v>114</v>
      </c>
      <c r="C56" s="293"/>
      <c r="F56" s="355">
        <f>SUM(F16:F48)</f>
        <v>0</v>
      </c>
      <c r="G56" s="476"/>
      <c r="H56" s="355">
        <f>SUM(H16:H48)</f>
        <v>0</v>
      </c>
      <c r="J56" s="143"/>
    </row>
    <row r="57" spans="1:10" customFormat="1" ht="13.5" thickTop="1">
      <c r="C57" s="253"/>
      <c r="F57" s="178"/>
      <c r="G57" s="237"/>
      <c r="H57" s="178"/>
      <c r="J57" s="193"/>
    </row>
  </sheetData>
  <sheetProtection password="9399" sheet="1" objects="1" scenarios="1"/>
  <customSheetViews>
    <customSheetView guid="{504CC784-4394-4648-B9CE-DFC32001696E}" showPageBreaks="1" showGridLines="0" hiddenColumns="1" view="pageBreakPreview" showRuler="0">
      <pane xSplit="1" ySplit="3" topLeftCell="B4" activePane="bottomRight" state="frozen"/>
      <selection pane="bottomRight" activeCell="B7" sqref="B7"/>
      <pageMargins left="0" right="0" top="0" bottom="0" header="0" footer="0"/>
      <pageSetup scale="85" orientation="portrait" r:id="rId1"/>
      <headerFooter alignWithMargins="0"/>
    </customSheetView>
  </customSheetViews>
  <phoneticPr fontId="22" type="noConversion"/>
  <pageMargins left="0.75" right="0.75" top="1" bottom="1" header="0.5" footer="0.5"/>
  <pageSetup scale="86"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1" r:id="rId5" name="Button 3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962025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6" name="Button 4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1</xdr:col>
                    <xdr:colOff>962025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FA82D-239B-4DB2-8F66-D178C84508B6}">
  <sheetPr codeName="Sheet24"/>
  <dimension ref="A1:H176"/>
  <sheetViews>
    <sheetView showGridLines="0" zoomScaleNormal="100" workbookViewId="0">
      <pane xSplit="1" ySplit="3" topLeftCell="B81" activePane="bottomRight" state="frozen"/>
      <selection pane="bottomRight" activeCell="I210" sqref="I210"/>
      <selection pane="bottomLeft" activeCell="G2" sqref="G2"/>
      <selection pane="topRight" activeCell="G2" sqref="G2"/>
    </sheetView>
  </sheetViews>
  <sheetFormatPr defaultColWidth="9.28515625" defaultRowHeight="12.75"/>
  <cols>
    <col min="1" max="1" width="3.7109375" customWidth="1"/>
    <col min="2" max="2" width="25.7109375" style="146" customWidth="1"/>
    <col min="3" max="3" width="15.28515625" style="340" customWidth="1"/>
    <col min="4" max="4" width="0.28515625" style="146" hidden="1" customWidth="1"/>
    <col min="5" max="5" width="12.28515625" style="146" customWidth="1"/>
    <col min="6" max="6" width="13.7109375" style="341" customWidth="1"/>
    <col min="7" max="7" width="14.7109375" style="341" customWidth="1"/>
    <col min="8" max="8" width="16.28515625" style="341" customWidth="1"/>
    <col min="9" max="16384" width="9.28515625" style="146"/>
  </cols>
  <sheetData>
    <row r="1" spans="1:8" s="11" customFormat="1" ht="15">
      <c r="B1" s="265" t="str">
        <f>+'trial balance'!A1</f>
        <v>NAME OF THE TRADING PARTICIPANT</v>
      </c>
      <c r="C1" s="285"/>
      <c r="D1" s="266"/>
      <c r="E1" s="266"/>
      <c r="F1" s="266"/>
      <c r="G1" s="266"/>
      <c r="H1" s="266"/>
    </row>
    <row r="2" spans="1:8" s="11" customFormat="1" ht="15">
      <c r="B2" s="267" t="s">
        <v>589</v>
      </c>
      <c r="C2" s="286"/>
      <c r="D2" s="267"/>
      <c r="E2" s="267"/>
      <c r="F2" s="267"/>
      <c r="G2" s="267"/>
      <c r="H2" s="267"/>
    </row>
    <row r="3" spans="1:8" s="11" customFormat="1" ht="15">
      <c r="B3" s="212" t="str">
        <f>+'trial balance'!A3</f>
        <v>mm/dd/yyyy</v>
      </c>
      <c r="C3" s="285"/>
      <c r="D3" s="212"/>
      <c r="E3" s="212"/>
      <c r="F3" s="212"/>
      <c r="G3" s="212"/>
      <c r="H3" s="212"/>
    </row>
    <row r="4" spans="1:8" s="11" customFormat="1" ht="15">
      <c r="B4" s="12"/>
      <c r="C4" s="287"/>
      <c r="D4" s="12"/>
      <c r="E4" s="12"/>
      <c r="F4" s="177"/>
      <c r="G4" s="177"/>
      <c r="H4" s="177"/>
    </row>
    <row r="5" spans="1:8" customFormat="1">
      <c r="C5" s="338"/>
      <c r="F5" s="339"/>
      <c r="G5" s="339"/>
      <c r="H5" s="339"/>
    </row>
    <row r="6" spans="1:8" s="2" customFormat="1">
      <c r="C6" s="288"/>
      <c r="F6" s="179"/>
      <c r="G6" s="179" t="s">
        <v>576</v>
      </c>
      <c r="H6" s="179" t="s">
        <v>582</v>
      </c>
    </row>
    <row r="7" spans="1:8" s="2" customFormat="1" ht="13.5" thickBot="1">
      <c r="B7" s="13" t="s">
        <v>583</v>
      </c>
      <c r="C7" s="289" t="s">
        <v>584</v>
      </c>
      <c r="D7" s="13"/>
      <c r="E7" s="13" t="s">
        <v>585</v>
      </c>
      <c r="F7" s="180" t="s">
        <v>586</v>
      </c>
      <c r="G7" s="180" t="s">
        <v>587</v>
      </c>
      <c r="H7" s="180" t="s">
        <v>588</v>
      </c>
    </row>
    <row r="9" spans="1:8">
      <c r="B9" s="242" t="s">
        <v>590</v>
      </c>
    </row>
    <row r="10" spans="1:8">
      <c r="A10">
        <v>1</v>
      </c>
      <c r="B10" s="477"/>
      <c r="C10" s="478"/>
      <c r="D10" s="475"/>
      <c r="E10" s="479"/>
      <c r="F10" s="480">
        <f>+C10*E10</f>
        <v>0</v>
      </c>
      <c r="G10" s="479"/>
      <c r="H10" s="480">
        <f>+C10*G10</f>
        <v>0</v>
      </c>
    </row>
    <row r="11" spans="1:8">
      <c r="A11">
        <f>A10+1</f>
        <v>2</v>
      </c>
      <c r="B11" s="477"/>
      <c r="C11" s="478"/>
      <c r="D11" s="475"/>
      <c r="E11" s="479"/>
      <c r="F11" s="480">
        <f>+C11*E11</f>
        <v>0</v>
      </c>
      <c r="G11" s="479"/>
      <c r="H11" s="480">
        <f>+C11*G11</f>
        <v>0</v>
      </c>
    </row>
    <row r="12" spans="1:8">
      <c r="A12">
        <f t="shared" ref="A12:A75" si="0">A11+1</f>
        <v>3</v>
      </c>
      <c r="B12" s="477"/>
      <c r="C12" s="478"/>
      <c r="D12" s="475"/>
      <c r="E12" s="479"/>
      <c r="F12" s="480">
        <f t="shared" ref="F12:F75" si="1">+C12*E12</f>
        <v>0</v>
      </c>
      <c r="G12" s="479"/>
      <c r="H12" s="480">
        <f t="shared" ref="H12:H75" si="2">+C12*G12</f>
        <v>0</v>
      </c>
    </row>
    <row r="13" spans="1:8">
      <c r="A13">
        <f t="shared" si="0"/>
        <v>4</v>
      </c>
      <c r="B13" s="477"/>
      <c r="C13" s="478"/>
      <c r="D13" s="475"/>
      <c r="E13" s="479"/>
      <c r="F13" s="480">
        <f t="shared" si="1"/>
        <v>0</v>
      </c>
      <c r="G13" s="479"/>
      <c r="H13" s="480">
        <f t="shared" si="2"/>
        <v>0</v>
      </c>
    </row>
    <row r="14" spans="1:8">
      <c r="A14">
        <f t="shared" si="0"/>
        <v>5</v>
      </c>
      <c r="B14" s="477"/>
      <c r="C14" s="478"/>
      <c r="D14" s="475"/>
      <c r="E14" s="479"/>
      <c r="F14" s="480">
        <f t="shared" si="1"/>
        <v>0</v>
      </c>
      <c r="G14" s="479"/>
      <c r="H14" s="480">
        <f t="shared" si="2"/>
        <v>0</v>
      </c>
    </row>
    <row r="15" spans="1:8">
      <c r="A15">
        <f t="shared" si="0"/>
        <v>6</v>
      </c>
      <c r="B15" s="477"/>
      <c r="C15" s="478"/>
      <c r="D15" s="475"/>
      <c r="E15" s="479"/>
      <c r="F15" s="480">
        <f t="shared" si="1"/>
        <v>0</v>
      </c>
      <c r="G15" s="479"/>
      <c r="H15" s="480">
        <f t="shared" si="2"/>
        <v>0</v>
      </c>
    </row>
    <row r="16" spans="1:8">
      <c r="A16">
        <f t="shared" si="0"/>
        <v>7</v>
      </c>
      <c r="B16" s="477"/>
      <c r="C16" s="478"/>
      <c r="D16" s="475"/>
      <c r="E16" s="479"/>
      <c r="F16" s="480">
        <f t="shared" si="1"/>
        <v>0</v>
      </c>
      <c r="G16" s="479"/>
      <c r="H16" s="480">
        <f t="shared" si="2"/>
        <v>0</v>
      </c>
    </row>
    <row r="17" spans="1:8">
      <c r="A17">
        <f t="shared" si="0"/>
        <v>8</v>
      </c>
      <c r="B17" s="477"/>
      <c r="C17" s="478"/>
      <c r="D17" s="475"/>
      <c r="E17" s="479"/>
      <c r="F17" s="480">
        <f t="shared" si="1"/>
        <v>0</v>
      </c>
      <c r="G17" s="479"/>
      <c r="H17" s="480">
        <f t="shared" si="2"/>
        <v>0</v>
      </c>
    </row>
    <row r="18" spans="1:8">
      <c r="A18">
        <f t="shared" si="0"/>
        <v>9</v>
      </c>
      <c r="B18" s="477"/>
      <c r="C18" s="478"/>
      <c r="D18" s="475"/>
      <c r="E18" s="479"/>
      <c r="F18" s="480">
        <f t="shared" si="1"/>
        <v>0</v>
      </c>
      <c r="G18" s="479"/>
      <c r="H18" s="480">
        <f t="shared" si="2"/>
        <v>0</v>
      </c>
    </row>
    <row r="19" spans="1:8">
      <c r="A19">
        <f t="shared" si="0"/>
        <v>10</v>
      </c>
      <c r="B19" s="477"/>
      <c r="C19" s="478"/>
      <c r="D19" s="475"/>
      <c r="E19" s="479"/>
      <c r="F19" s="480">
        <f t="shared" si="1"/>
        <v>0</v>
      </c>
      <c r="G19" s="479"/>
      <c r="H19" s="480">
        <f t="shared" si="2"/>
        <v>0</v>
      </c>
    </row>
    <row r="20" spans="1:8">
      <c r="A20">
        <f t="shared" si="0"/>
        <v>11</v>
      </c>
      <c r="B20" s="477"/>
      <c r="C20" s="478"/>
      <c r="D20" s="475"/>
      <c r="E20" s="479"/>
      <c r="F20" s="480">
        <f t="shared" si="1"/>
        <v>0</v>
      </c>
      <c r="G20" s="479"/>
      <c r="H20" s="480">
        <f t="shared" si="2"/>
        <v>0</v>
      </c>
    </row>
    <row r="21" spans="1:8">
      <c r="A21">
        <f t="shared" si="0"/>
        <v>12</v>
      </c>
      <c r="B21" s="477"/>
      <c r="C21" s="478"/>
      <c r="D21" s="475"/>
      <c r="E21" s="479"/>
      <c r="F21" s="480">
        <f t="shared" si="1"/>
        <v>0</v>
      </c>
      <c r="G21" s="479"/>
      <c r="H21" s="480">
        <f t="shared" si="2"/>
        <v>0</v>
      </c>
    </row>
    <row r="22" spans="1:8">
      <c r="A22">
        <f t="shared" si="0"/>
        <v>13</v>
      </c>
      <c r="B22" s="477"/>
      <c r="C22" s="478"/>
      <c r="D22" s="475"/>
      <c r="E22" s="479"/>
      <c r="F22" s="480">
        <f t="shared" si="1"/>
        <v>0</v>
      </c>
      <c r="G22" s="479"/>
      <c r="H22" s="480">
        <f t="shared" si="2"/>
        <v>0</v>
      </c>
    </row>
    <row r="23" spans="1:8">
      <c r="A23">
        <f t="shared" si="0"/>
        <v>14</v>
      </c>
      <c r="B23" s="477"/>
      <c r="C23" s="478"/>
      <c r="D23" s="475"/>
      <c r="E23" s="479"/>
      <c r="F23" s="480">
        <f t="shared" si="1"/>
        <v>0</v>
      </c>
      <c r="G23" s="479"/>
      <c r="H23" s="480">
        <f t="shared" si="2"/>
        <v>0</v>
      </c>
    </row>
    <row r="24" spans="1:8">
      <c r="A24">
        <f t="shared" si="0"/>
        <v>15</v>
      </c>
      <c r="B24" s="477"/>
      <c r="C24" s="478"/>
      <c r="D24" s="475"/>
      <c r="E24" s="479"/>
      <c r="F24" s="480">
        <f t="shared" si="1"/>
        <v>0</v>
      </c>
      <c r="G24" s="479"/>
      <c r="H24" s="480">
        <f t="shared" si="2"/>
        <v>0</v>
      </c>
    </row>
    <row r="25" spans="1:8">
      <c r="A25">
        <f t="shared" si="0"/>
        <v>16</v>
      </c>
      <c r="B25" s="477"/>
      <c r="C25" s="478"/>
      <c r="D25" s="475"/>
      <c r="E25" s="479"/>
      <c r="F25" s="480">
        <f t="shared" si="1"/>
        <v>0</v>
      </c>
      <c r="G25" s="479"/>
      <c r="H25" s="480">
        <f t="shared" si="2"/>
        <v>0</v>
      </c>
    </row>
    <row r="26" spans="1:8">
      <c r="A26">
        <f t="shared" si="0"/>
        <v>17</v>
      </c>
      <c r="B26" s="477"/>
      <c r="C26" s="478"/>
      <c r="D26" s="475"/>
      <c r="E26" s="479"/>
      <c r="F26" s="480">
        <f t="shared" si="1"/>
        <v>0</v>
      </c>
      <c r="G26" s="479"/>
      <c r="H26" s="480">
        <f t="shared" si="2"/>
        <v>0</v>
      </c>
    </row>
    <row r="27" spans="1:8">
      <c r="A27">
        <f t="shared" si="0"/>
        <v>18</v>
      </c>
      <c r="B27" s="477"/>
      <c r="C27" s="478"/>
      <c r="D27" s="475"/>
      <c r="E27" s="479"/>
      <c r="F27" s="480">
        <f t="shared" si="1"/>
        <v>0</v>
      </c>
      <c r="G27" s="479"/>
      <c r="H27" s="480">
        <f t="shared" si="2"/>
        <v>0</v>
      </c>
    </row>
    <row r="28" spans="1:8">
      <c r="A28">
        <f t="shared" si="0"/>
        <v>19</v>
      </c>
      <c r="B28" s="477"/>
      <c r="C28" s="478"/>
      <c r="D28" s="475"/>
      <c r="E28" s="479"/>
      <c r="F28" s="480">
        <f t="shared" si="1"/>
        <v>0</v>
      </c>
      <c r="G28" s="479"/>
      <c r="H28" s="480">
        <f t="shared" si="2"/>
        <v>0</v>
      </c>
    </row>
    <row r="29" spans="1:8">
      <c r="A29">
        <f t="shared" si="0"/>
        <v>20</v>
      </c>
      <c r="B29" s="477"/>
      <c r="C29" s="478"/>
      <c r="D29" s="475"/>
      <c r="E29" s="479"/>
      <c r="F29" s="480">
        <f t="shared" si="1"/>
        <v>0</v>
      </c>
      <c r="G29" s="479"/>
      <c r="H29" s="480">
        <f t="shared" si="2"/>
        <v>0</v>
      </c>
    </row>
    <row r="30" spans="1:8">
      <c r="A30">
        <f t="shared" si="0"/>
        <v>21</v>
      </c>
      <c r="B30" s="477"/>
      <c r="C30" s="478"/>
      <c r="D30" s="475"/>
      <c r="E30" s="479"/>
      <c r="F30" s="480">
        <f t="shared" si="1"/>
        <v>0</v>
      </c>
      <c r="G30" s="479"/>
      <c r="H30" s="480">
        <f t="shared" si="2"/>
        <v>0</v>
      </c>
    </row>
    <row r="31" spans="1:8">
      <c r="A31">
        <f t="shared" si="0"/>
        <v>22</v>
      </c>
      <c r="B31" s="477"/>
      <c r="C31" s="478"/>
      <c r="D31" s="475"/>
      <c r="E31" s="479"/>
      <c r="F31" s="480">
        <f t="shared" si="1"/>
        <v>0</v>
      </c>
      <c r="G31" s="479"/>
      <c r="H31" s="480">
        <f t="shared" si="2"/>
        <v>0</v>
      </c>
    </row>
    <row r="32" spans="1:8">
      <c r="A32">
        <f t="shared" si="0"/>
        <v>23</v>
      </c>
      <c r="B32" s="477"/>
      <c r="C32" s="478"/>
      <c r="D32" s="475"/>
      <c r="E32" s="479"/>
      <c r="F32" s="480">
        <f t="shared" si="1"/>
        <v>0</v>
      </c>
      <c r="G32" s="479"/>
      <c r="H32" s="480">
        <f t="shared" si="2"/>
        <v>0</v>
      </c>
    </row>
    <row r="33" spans="1:8">
      <c r="A33">
        <f t="shared" si="0"/>
        <v>24</v>
      </c>
      <c r="B33" s="477"/>
      <c r="C33" s="478"/>
      <c r="D33" s="475"/>
      <c r="E33" s="479"/>
      <c r="F33" s="480">
        <f t="shared" si="1"/>
        <v>0</v>
      </c>
      <c r="G33" s="479"/>
      <c r="H33" s="480">
        <f t="shared" si="2"/>
        <v>0</v>
      </c>
    </row>
    <row r="34" spans="1:8">
      <c r="A34">
        <f t="shared" si="0"/>
        <v>25</v>
      </c>
      <c r="B34" s="477"/>
      <c r="C34" s="478"/>
      <c r="D34" s="475"/>
      <c r="E34" s="479"/>
      <c r="F34" s="480">
        <f t="shared" si="1"/>
        <v>0</v>
      </c>
      <c r="G34" s="479"/>
      <c r="H34" s="480">
        <f t="shared" si="2"/>
        <v>0</v>
      </c>
    </row>
    <row r="35" spans="1:8">
      <c r="A35">
        <f t="shared" si="0"/>
        <v>26</v>
      </c>
      <c r="B35" s="477"/>
      <c r="C35" s="478"/>
      <c r="D35" s="475"/>
      <c r="E35" s="479"/>
      <c r="F35" s="480">
        <f t="shared" si="1"/>
        <v>0</v>
      </c>
      <c r="G35" s="479"/>
      <c r="H35" s="480">
        <f t="shared" si="2"/>
        <v>0</v>
      </c>
    </row>
    <row r="36" spans="1:8">
      <c r="A36">
        <f t="shared" si="0"/>
        <v>27</v>
      </c>
      <c r="B36" s="477"/>
      <c r="C36" s="478"/>
      <c r="D36" s="475"/>
      <c r="E36" s="479"/>
      <c r="F36" s="480">
        <f t="shared" si="1"/>
        <v>0</v>
      </c>
      <c r="G36" s="479"/>
      <c r="H36" s="480">
        <f t="shared" si="2"/>
        <v>0</v>
      </c>
    </row>
    <row r="37" spans="1:8">
      <c r="A37">
        <f t="shared" si="0"/>
        <v>28</v>
      </c>
      <c r="B37" s="477"/>
      <c r="C37" s="478"/>
      <c r="D37" s="475"/>
      <c r="E37" s="479"/>
      <c r="F37" s="480">
        <f t="shared" si="1"/>
        <v>0</v>
      </c>
      <c r="G37" s="479"/>
      <c r="H37" s="480">
        <f t="shared" si="2"/>
        <v>0</v>
      </c>
    </row>
    <row r="38" spans="1:8">
      <c r="A38">
        <f t="shared" si="0"/>
        <v>29</v>
      </c>
      <c r="B38" s="477"/>
      <c r="C38" s="478"/>
      <c r="D38" s="475"/>
      <c r="E38" s="479"/>
      <c r="F38" s="480">
        <f t="shared" si="1"/>
        <v>0</v>
      </c>
      <c r="G38" s="479"/>
      <c r="H38" s="480">
        <f t="shared" si="2"/>
        <v>0</v>
      </c>
    </row>
    <row r="39" spans="1:8">
      <c r="A39">
        <f t="shared" si="0"/>
        <v>30</v>
      </c>
      <c r="B39" s="477"/>
      <c r="C39" s="478"/>
      <c r="D39" s="475"/>
      <c r="E39" s="479"/>
      <c r="F39" s="480">
        <f t="shared" si="1"/>
        <v>0</v>
      </c>
      <c r="G39" s="479"/>
      <c r="H39" s="480">
        <f t="shared" si="2"/>
        <v>0</v>
      </c>
    </row>
    <row r="40" spans="1:8">
      <c r="A40">
        <f t="shared" si="0"/>
        <v>31</v>
      </c>
      <c r="B40" s="477"/>
      <c r="C40" s="478"/>
      <c r="D40" s="475"/>
      <c r="E40" s="479"/>
      <c r="F40" s="480">
        <f t="shared" si="1"/>
        <v>0</v>
      </c>
      <c r="G40" s="479"/>
      <c r="H40" s="480">
        <f t="shared" si="2"/>
        <v>0</v>
      </c>
    </row>
    <row r="41" spans="1:8">
      <c r="A41">
        <f t="shared" si="0"/>
        <v>32</v>
      </c>
      <c r="B41" s="477"/>
      <c r="C41" s="478"/>
      <c r="D41" s="475"/>
      <c r="E41" s="479"/>
      <c r="F41" s="480">
        <f t="shared" si="1"/>
        <v>0</v>
      </c>
      <c r="G41" s="479"/>
      <c r="H41" s="480">
        <f t="shared" si="2"/>
        <v>0</v>
      </c>
    </row>
    <row r="42" spans="1:8">
      <c r="A42">
        <f t="shared" si="0"/>
        <v>33</v>
      </c>
      <c r="B42" s="477"/>
      <c r="C42" s="478"/>
      <c r="D42" s="475"/>
      <c r="E42" s="479"/>
      <c r="F42" s="480">
        <f t="shared" si="1"/>
        <v>0</v>
      </c>
      <c r="G42" s="479"/>
      <c r="H42" s="480">
        <f t="shared" si="2"/>
        <v>0</v>
      </c>
    </row>
    <row r="43" spans="1:8">
      <c r="A43">
        <f t="shared" si="0"/>
        <v>34</v>
      </c>
      <c r="B43" s="477"/>
      <c r="C43" s="478"/>
      <c r="D43" s="475"/>
      <c r="E43" s="479"/>
      <c r="F43" s="480">
        <f t="shared" si="1"/>
        <v>0</v>
      </c>
      <c r="G43" s="479"/>
      <c r="H43" s="480">
        <f t="shared" si="2"/>
        <v>0</v>
      </c>
    </row>
    <row r="44" spans="1:8">
      <c r="A44">
        <f t="shared" si="0"/>
        <v>35</v>
      </c>
      <c r="B44" s="477"/>
      <c r="C44" s="478"/>
      <c r="D44" s="475"/>
      <c r="E44" s="479"/>
      <c r="F44" s="480">
        <f t="shared" si="1"/>
        <v>0</v>
      </c>
      <c r="G44" s="479"/>
      <c r="H44" s="480">
        <f t="shared" si="2"/>
        <v>0</v>
      </c>
    </row>
    <row r="45" spans="1:8">
      <c r="A45">
        <f t="shared" si="0"/>
        <v>36</v>
      </c>
      <c r="B45" s="477"/>
      <c r="C45" s="478"/>
      <c r="D45" s="475"/>
      <c r="E45" s="479"/>
      <c r="F45" s="480">
        <f t="shared" si="1"/>
        <v>0</v>
      </c>
      <c r="G45" s="479"/>
      <c r="H45" s="480">
        <f t="shared" si="2"/>
        <v>0</v>
      </c>
    </row>
    <row r="46" spans="1:8">
      <c r="A46">
        <f t="shared" si="0"/>
        <v>37</v>
      </c>
      <c r="B46" s="477"/>
      <c r="C46" s="478"/>
      <c r="D46" s="475"/>
      <c r="E46" s="479"/>
      <c r="F46" s="480">
        <f t="shared" si="1"/>
        <v>0</v>
      </c>
      <c r="G46" s="479"/>
      <c r="H46" s="480">
        <f t="shared" si="2"/>
        <v>0</v>
      </c>
    </row>
    <row r="47" spans="1:8">
      <c r="A47">
        <f t="shared" si="0"/>
        <v>38</v>
      </c>
      <c r="B47" s="477"/>
      <c r="C47" s="478"/>
      <c r="D47" s="475"/>
      <c r="E47" s="479"/>
      <c r="F47" s="480">
        <f t="shared" si="1"/>
        <v>0</v>
      </c>
      <c r="G47" s="479"/>
      <c r="H47" s="480">
        <f t="shared" si="2"/>
        <v>0</v>
      </c>
    </row>
    <row r="48" spans="1:8">
      <c r="A48">
        <f t="shared" si="0"/>
        <v>39</v>
      </c>
      <c r="B48" s="477"/>
      <c r="C48" s="478"/>
      <c r="D48" s="475"/>
      <c r="E48" s="479"/>
      <c r="F48" s="480">
        <f t="shared" si="1"/>
        <v>0</v>
      </c>
      <c r="G48" s="479"/>
      <c r="H48" s="480">
        <f t="shared" si="2"/>
        <v>0</v>
      </c>
    </row>
    <row r="49" spans="1:8">
      <c r="A49">
        <f t="shared" si="0"/>
        <v>40</v>
      </c>
      <c r="B49" s="477"/>
      <c r="C49" s="478"/>
      <c r="D49" s="475"/>
      <c r="E49" s="479"/>
      <c r="F49" s="480">
        <f t="shared" si="1"/>
        <v>0</v>
      </c>
      <c r="G49" s="479"/>
      <c r="H49" s="480">
        <f t="shared" si="2"/>
        <v>0</v>
      </c>
    </row>
    <row r="50" spans="1:8">
      <c r="A50">
        <f t="shared" si="0"/>
        <v>41</v>
      </c>
      <c r="B50" s="477"/>
      <c r="C50" s="478"/>
      <c r="D50" s="475"/>
      <c r="E50" s="479"/>
      <c r="F50" s="480">
        <f t="shared" si="1"/>
        <v>0</v>
      </c>
      <c r="G50" s="479"/>
      <c r="H50" s="480">
        <f t="shared" si="2"/>
        <v>0</v>
      </c>
    </row>
    <row r="51" spans="1:8">
      <c r="A51">
        <f t="shared" si="0"/>
        <v>42</v>
      </c>
      <c r="B51" s="477"/>
      <c r="C51" s="478"/>
      <c r="D51" s="475"/>
      <c r="E51" s="479"/>
      <c r="F51" s="480">
        <f t="shared" si="1"/>
        <v>0</v>
      </c>
      <c r="G51" s="479"/>
      <c r="H51" s="480">
        <f t="shared" si="2"/>
        <v>0</v>
      </c>
    </row>
    <row r="52" spans="1:8">
      <c r="A52">
        <f t="shared" si="0"/>
        <v>43</v>
      </c>
      <c r="B52" s="477"/>
      <c r="C52" s="478"/>
      <c r="D52" s="475"/>
      <c r="E52" s="479"/>
      <c r="F52" s="480">
        <f t="shared" si="1"/>
        <v>0</v>
      </c>
      <c r="G52" s="479"/>
      <c r="H52" s="480">
        <f t="shared" si="2"/>
        <v>0</v>
      </c>
    </row>
    <row r="53" spans="1:8">
      <c r="A53">
        <f t="shared" si="0"/>
        <v>44</v>
      </c>
      <c r="B53" s="477"/>
      <c r="C53" s="478"/>
      <c r="D53" s="475"/>
      <c r="E53" s="479"/>
      <c r="F53" s="480">
        <f t="shared" si="1"/>
        <v>0</v>
      </c>
      <c r="G53" s="479"/>
      <c r="H53" s="480">
        <f t="shared" si="2"/>
        <v>0</v>
      </c>
    </row>
    <row r="54" spans="1:8">
      <c r="A54">
        <f t="shared" si="0"/>
        <v>45</v>
      </c>
      <c r="B54" s="477"/>
      <c r="C54" s="478"/>
      <c r="D54" s="475"/>
      <c r="E54" s="479"/>
      <c r="F54" s="480">
        <f t="shared" si="1"/>
        <v>0</v>
      </c>
      <c r="G54" s="479"/>
      <c r="H54" s="480">
        <f t="shared" si="2"/>
        <v>0</v>
      </c>
    </row>
    <row r="55" spans="1:8">
      <c r="A55">
        <f t="shared" si="0"/>
        <v>46</v>
      </c>
      <c r="B55" s="477"/>
      <c r="C55" s="478"/>
      <c r="D55" s="475"/>
      <c r="E55" s="479"/>
      <c r="F55" s="480">
        <f t="shared" si="1"/>
        <v>0</v>
      </c>
      <c r="G55" s="479"/>
      <c r="H55" s="480">
        <f t="shared" si="2"/>
        <v>0</v>
      </c>
    </row>
    <row r="56" spans="1:8">
      <c r="A56">
        <f t="shared" si="0"/>
        <v>47</v>
      </c>
      <c r="B56" s="477"/>
      <c r="C56" s="478"/>
      <c r="D56" s="475"/>
      <c r="E56" s="479"/>
      <c r="F56" s="480">
        <f t="shared" si="1"/>
        <v>0</v>
      </c>
      <c r="G56" s="479"/>
      <c r="H56" s="480">
        <f t="shared" si="2"/>
        <v>0</v>
      </c>
    </row>
    <row r="57" spans="1:8">
      <c r="A57">
        <f t="shared" si="0"/>
        <v>48</v>
      </c>
      <c r="B57" s="477"/>
      <c r="C57" s="478"/>
      <c r="D57" s="475"/>
      <c r="E57" s="479"/>
      <c r="F57" s="480">
        <f t="shared" si="1"/>
        <v>0</v>
      </c>
      <c r="G57" s="479"/>
      <c r="H57" s="480">
        <f t="shared" si="2"/>
        <v>0</v>
      </c>
    </row>
    <row r="58" spans="1:8">
      <c r="A58">
        <f t="shared" si="0"/>
        <v>49</v>
      </c>
      <c r="B58" s="477"/>
      <c r="C58" s="478"/>
      <c r="D58" s="475"/>
      <c r="E58" s="479"/>
      <c r="F58" s="480">
        <f t="shared" si="1"/>
        <v>0</v>
      </c>
      <c r="G58" s="479"/>
      <c r="H58" s="480">
        <f t="shared" si="2"/>
        <v>0</v>
      </c>
    </row>
    <row r="59" spans="1:8">
      <c r="A59">
        <f t="shared" si="0"/>
        <v>50</v>
      </c>
      <c r="B59" s="477"/>
      <c r="C59" s="478"/>
      <c r="D59" s="475"/>
      <c r="E59" s="479"/>
      <c r="F59" s="480">
        <f t="shared" si="1"/>
        <v>0</v>
      </c>
      <c r="G59" s="479"/>
      <c r="H59" s="480">
        <f t="shared" si="2"/>
        <v>0</v>
      </c>
    </row>
    <row r="60" spans="1:8">
      <c r="A60">
        <f t="shared" si="0"/>
        <v>51</v>
      </c>
      <c r="B60" s="477"/>
      <c r="C60" s="478"/>
      <c r="D60" s="475"/>
      <c r="E60" s="479"/>
      <c r="F60" s="480">
        <f t="shared" si="1"/>
        <v>0</v>
      </c>
      <c r="G60" s="479"/>
      <c r="H60" s="480">
        <f t="shared" si="2"/>
        <v>0</v>
      </c>
    </row>
    <row r="61" spans="1:8">
      <c r="A61">
        <f t="shared" si="0"/>
        <v>52</v>
      </c>
      <c r="B61" s="477"/>
      <c r="C61" s="478"/>
      <c r="D61" s="475"/>
      <c r="E61" s="479"/>
      <c r="F61" s="480">
        <f t="shared" si="1"/>
        <v>0</v>
      </c>
      <c r="G61" s="479"/>
      <c r="H61" s="480">
        <f t="shared" si="2"/>
        <v>0</v>
      </c>
    </row>
    <row r="62" spans="1:8">
      <c r="A62">
        <f t="shared" si="0"/>
        <v>53</v>
      </c>
      <c r="B62" s="477"/>
      <c r="C62" s="478"/>
      <c r="D62" s="475"/>
      <c r="E62" s="479"/>
      <c r="F62" s="480">
        <f t="shared" si="1"/>
        <v>0</v>
      </c>
      <c r="G62" s="479"/>
      <c r="H62" s="480">
        <f t="shared" si="2"/>
        <v>0</v>
      </c>
    </row>
    <row r="63" spans="1:8">
      <c r="A63">
        <f t="shared" si="0"/>
        <v>54</v>
      </c>
      <c r="B63" s="477"/>
      <c r="C63" s="478"/>
      <c r="D63" s="475"/>
      <c r="E63" s="479"/>
      <c r="F63" s="480">
        <f t="shared" si="1"/>
        <v>0</v>
      </c>
      <c r="G63" s="479"/>
      <c r="H63" s="480">
        <f t="shared" si="2"/>
        <v>0</v>
      </c>
    </row>
    <row r="64" spans="1:8">
      <c r="A64">
        <f t="shared" si="0"/>
        <v>55</v>
      </c>
      <c r="B64" s="477"/>
      <c r="C64" s="478"/>
      <c r="D64" s="475"/>
      <c r="E64" s="479"/>
      <c r="F64" s="480">
        <f t="shared" si="1"/>
        <v>0</v>
      </c>
      <c r="G64" s="479"/>
      <c r="H64" s="480">
        <f t="shared" si="2"/>
        <v>0</v>
      </c>
    </row>
    <row r="65" spans="1:8">
      <c r="A65">
        <f t="shared" si="0"/>
        <v>56</v>
      </c>
      <c r="B65" s="477"/>
      <c r="C65" s="478"/>
      <c r="D65" s="475"/>
      <c r="E65" s="479"/>
      <c r="F65" s="480">
        <f t="shared" si="1"/>
        <v>0</v>
      </c>
      <c r="G65" s="479"/>
      <c r="H65" s="480">
        <f t="shared" si="2"/>
        <v>0</v>
      </c>
    </row>
    <row r="66" spans="1:8">
      <c r="A66">
        <f t="shared" si="0"/>
        <v>57</v>
      </c>
      <c r="B66" s="477"/>
      <c r="C66" s="478"/>
      <c r="D66" s="475"/>
      <c r="E66" s="479"/>
      <c r="F66" s="480">
        <f t="shared" si="1"/>
        <v>0</v>
      </c>
      <c r="G66" s="479"/>
      <c r="H66" s="480">
        <f t="shared" si="2"/>
        <v>0</v>
      </c>
    </row>
    <row r="67" spans="1:8">
      <c r="A67">
        <f t="shared" si="0"/>
        <v>58</v>
      </c>
      <c r="B67" s="477"/>
      <c r="C67" s="478"/>
      <c r="D67" s="475"/>
      <c r="E67" s="479"/>
      <c r="F67" s="480">
        <f t="shared" si="1"/>
        <v>0</v>
      </c>
      <c r="G67" s="479"/>
      <c r="H67" s="480">
        <f t="shared" si="2"/>
        <v>0</v>
      </c>
    </row>
    <row r="68" spans="1:8">
      <c r="A68">
        <f t="shared" si="0"/>
        <v>59</v>
      </c>
      <c r="B68" s="477"/>
      <c r="C68" s="478"/>
      <c r="D68" s="475"/>
      <c r="E68" s="479"/>
      <c r="F68" s="480">
        <f t="shared" si="1"/>
        <v>0</v>
      </c>
      <c r="G68" s="479"/>
      <c r="H68" s="480">
        <f t="shared" si="2"/>
        <v>0</v>
      </c>
    </row>
    <row r="69" spans="1:8">
      <c r="A69">
        <f t="shared" si="0"/>
        <v>60</v>
      </c>
      <c r="B69" s="477"/>
      <c r="C69" s="478"/>
      <c r="D69" s="475"/>
      <c r="E69" s="479"/>
      <c r="F69" s="480">
        <f t="shared" si="1"/>
        <v>0</v>
      </c>
      <c r="G69" s="479"/>
      <c r="H69" s="480">
        <f t="shared" si="2"/>
        <v>0</v>
      </c>
    </row>
    <row r="70" spans="1:8">
      <c r="A70">
        <f t="shared" si="0"/>
        <v>61</v>
      </c>
      <c r="B70" s="477"/>
      <c r="C70" s="478"/>
      <c r="D70" s="475"/>
      <c r="E70" s="479"/>
      <c r="F70" s="480">
        <f t="shared" si="1"/>
        <v>0</v>
      </c>
      <c r="G70" s="479"/>
      <c r="H70" s="480">
        <f t="shared" si="2"/>
        <v>0</v>
      </c>
    </row>
    <row r="71" spans="1:8">
      <c r="A71">
        <f t="shared" si="0"/>
        <v>62</v>
      </c>
      <c r="B71" s="477"/>
      <c r="C71" s="478"/>
      <c r="D71" s="475"/>
      <c r="E71" s="479"/>
      <c r="F71" s="480">
        <f t="shared" si="1"/>
        <v>0</v>
      </c>
      <c r="G71" s="479"/>
      <c r="H71" s="480">
        <f t="shared" si="2"/>
        <v>0</v>
      </c>
    </row>
    <row r="72" spans="1:8">
      <c r="A72">
        <f t="shared" si="0"/>
        <v>63</v>
      </c>
      <c r="B72" s="477"/>
      <c r="C72" s="478"/>
      <c r="D72" s="475"/>
      <c r="E72" s="479"/>
      <c r="F72" s="480">
        <f t="shared" si="1"/>
        <v>0</v>
      </c>
      <c r="G72" s="479"/>
      <c r="H72" s="480">
        <f t="shared" si="2"/>
        <v>0</v>
      </c>
    </row>
    <row r="73" spans="1:8">
      <c r="A73">
        <f t="shared" si="0"/>
        <v>64</v>
      </c>
      <c r="B73" s="477"/>
      <c r="C73" s="478"/>
      <c r="D73" s="475"/>
      <c r="E73" s="479"/>
      <c r="F73" s="480">
        <f t="shared" si="1"/>
        <v>0</v>
      </c>
      <c r="G73" s="479"/>
      <c r="H73" s="480">
        <f t="shared" si="2"/>
        <v>0</v>
      </c>
    </row>
    <row r="74" spans="1:8">
      <c r="A74">
        <f t="shared" si="0"/>
        <v>65</v>
      </c>
      <c r="B74" s="477"/>
      <c r="C74" s="478"/>
      <c r="D74" s="475"/>
      <c r="E74" s="479"/>
      <c r="F74" s="480">
        <f t="shared" si="1"/>
        <v>0</v>
      </c>
      <c r="G74" s="479"/>
      <c r="H74" s="480">
        <f t="shared" si="2"/>
        <v>0</v>
      </c>
    </row>
    <row r="75" spans="1:8">
      <c r="A75">
        <f t="shared" si="0"/>
        <v>66</v>
      </c>
      <c r="B75" s="477"/>
      <c r="C75" s="478"/>
      <c r="D75" s="475"/>
      <c r="E75" s="479"/>
      <c r="F75" s="480">
        <f t="shared" si="1"/>
        <v>0</v>
      </c>
      <c r="G75" s="479"/>
      <c r="H75" s="480">
        <f t="shared" si="2"/>
        <v>0</v>
      </c>
    </row>
    <row r="76" spans="1:8">
      <c r="A76">
        <f t="shared" ref="A76:A139" si="3">A75+1</f>
        <v>67</v>
      </c>
      <c r="B76" s="477"/>
      <c r="C76" s="478"/>
      <c r="D76" s="475"/>
      <c r="E76" s="479"/>
      <c r="F76" s="480">
        <f t="shared" ref="F76:F139" si="4">+C76*E76</f>
        <v>0</v>
      </c>
      <c r="G76" s="479"/>
      <c r="H76" s="480">
        <f t="shared" ref="H76:H139" si="5">+C76*G76</f>
        <v>0</v>
      </c>
    </row>
    <row r="77" spans="1:8">
      <c r="A77">
        <f t="shared" si="3"/>
        <v>68</v>
      </c>
      <c r="B77" s="477"/>
      <c r="C77" s="478"/>
      <c r="D77" s="475"/>
      <c r="E77" s="479"/>
      <c r="F77" s="480">
        <f t="shared" si="4"/>
        <v>0</v>
      </c>
      <c r="G77" s="479"/>
      <c r="H77" s="480">
        <f t="shared" si="5"/>
        <v>0</v>
      </c>
    </row>
    <row r="78" spans="1:8">
      <c r="A78">
        <f t="shared" si="3"/>
        <v>69</v>
      </c>
      <c r="B78" s="477"/>
      <c r="C78" s="478"/>
      <c r="D78" s="475"/>
      <c r="E78" s="479"/>
      <c r="F78" s="480">
        <f t="shared" si="4"/>
        <v>0</v>
      </c>
      <c r="G78" s="479"/>
      <c r="H78" s="480">
        <f t="shared" si="5"/>
        <v>0</v>
      </c>
    </row>
    <row r="79" spans="1:8">
      <c r="A79">
        <f t="shared" si="3"/>
        <v>70</v>
      </c>
      <c r="B79" s="477"/>
      <c r="C79" s="478"/>
      <c r="D79" s="475"/>
      <c r="E79" s="479"/>
      <c r="F79" s="480">
        <f t="shared" si="4"/>
        <v>0</v>
      </c>
      <c r="G79" s="479"/>
      <c r="H79" s="480">
        <f t="shared" si="5"/>
        <v>0</v>
      </c>
    </row>
    <row r="80" spans="1:8">
      <c r="A80">
        <f t="shared" si="3"/>
        <v>71</v>
      </c>
      <c r="B80" s="477"/>
      <c r="C80" s="478"/>
      <c r="D80" s="475"/>
      <c r="E80" s="479"/>
      <c r="F80" s="480">
        <f t="shared" si="4"/>
        <v>0</v>
      </c>
      <c r="G80" s="479"/>
      <c r="H80" s="480">
        <f t="shared" si="5"/>
        <v>0</v>
      </c>
    </row>
    <row r="81" spans="1:8">
      <c r="A81">
        <f t="shared" si="3"/>
        <v>72</v>
      </c>
      <c r="B81" s="477"/>
      <c r="C81" s="478"/>
      <c r="D81" s="475"/>
      <c r="E81" s="479"/>
      <c r="F81" s="480">
        <f t="shared" si="4"/>
        <v>0</v>
      </c>
      <c r="G81" s="479"/>
      <c r="H81" s="480">
        <f t="shared" si="5"/>
        <v>0</v>
      </c>
    </row>
    <row r="82" spans="1:8">
      <c r="A82">
        <f t="shared" si="3"/>
        <v>73</v>
      </c>
      <c r="B82" s="477"/>
      <c r="C82" s="478"/>
      <c r="D82" s="475"/>
      <c r="E82" s="479"/>
      <c r="F82" s="480">
        <f t="shared" si="4"/>
        <v>0</v>
      </c>
      <c r="G82" s="479"/>
      <c r="H82" s="480">
        <f t="shared" si="5"/>
        <v>0</v>
      </c>
    </row>
    <row r="83" spans="1:8">
      <c r="A83">
        <f t="shared" si="3"/>
        <v>74</v>
      </c>
      <c r="B83" s="477"/>
      <c r="C83" s="478"/>
      <c r="D83" s="475"/>
      <c r="E83" s="479"/>
      <c r="F83" s="480">
        <f t="shared" si="4"/>
        <v>0</v>
      </c>
      <c r="G83" s="479"/>
      <c r="H83" s="480">
        <f t="shared" si="5"/>
        <v>0</v>
      </c>
    </row>
    <row r="84" spans="1:8">
      <c r="A84">
        <f t="shared" si="3"/>
        <v>75</v>
      </c>
      <c r="B84" s="477"/>
      <c r="C84" s="478"/>
      <c r="D84" s="475"/>
      <c r="E84" s="479"/>
      <c r="F84" s="480">
        <f t="shared" si="4"/>
        <v>0</v>
      </c>
      <c r="G84" s="479"/>
      <c r="H84" s="480">
        <f t="shared" si="5"/>
        <v>0</v>
      </c>
    </row>
    <row r="85" spans="1:8">
      <c r="A85">
        <f t="shared" si="3"/>
        <v>76</v>
      </c>
      <c r="B85" s="477"/>
      <c r="C85" s="478"/>
      <c r="D85" s="475"/>
      <c r="E85" s="479"/>
      <c r="F85" s="480">
        <f t="shared" si="4"/>
        <v>0</v>
      </c>
      <c r="G85" s="479"/>
      <c r="H85" s="480">
        <f t="shared" si="5"/>
        <v>0</v>
      </c>
    </row>
    <row r="86" spans="1:8">
      <c r="A86">
        <f t="shared" si="3"/>
        <v>77</v>
      </c>
      <c r="B86" s="477"/>
      <c r="C86" s="478"/>
      <c r="D86" s="475"/>
      <c r="E86" s="479"/>
      <c r="F86" s="480">
        <f t="shared" si="4"/>
        <v>0</v>
      </c>
      <c r="G86" s="479"/>
      <c r="H86" s="480">
        <f t="shared" si="5"/>
        <v>0</v>
      </c>
    </row>
    <row r="87" spans="1:8">
      <c r="A87">
        <f t="shared" si="3"/>
        <v>78</v>
      </c>
      <c r="B87" s="477"/>
      <c r="C87" s="478"/>
      <c r="D87" s="475"/>
      <c r="E87" s="479"/>
      <c r="F87" s="480">
        <f t="shared" si="4"/>
        <v>0</v>
      </c>
      <c r="G87" s="479"/>
      <c r="H87" s="480">
        <f t="shared" si="5"/>
        <v>0</v>
      </c>
    </row>
    <row r="88" spans="1:8">
      <c r="A88">
        <f t="shared" si="3"/>
        <v>79</v>
      </c>
      <c r="B88" s="477"/>
      <c r="C88" s="478"/>
      <c r="D88" s="475"/>
      <c r="E88" s="479"/>
      <c r="F88" s="480">
        <f t="shared" si="4"/>
        <v>0</v>
      </c>
      <c r="G88" s="479"/>
      <c r="H88" s="480">
        <f t="shared" si="5"/>
        <v>0</v>
      </c>
    </row>
    <row r="89" spans="1:8">
      <c r="A89">
        <f t="shared" si="3"/>
        <v>80</v>
      </c>
      <c r="B89" s="477"/>
      <c r="C89" s="478"/>
      <c r="D89" s="475"/>
      <c r="E89" s="479"/>
      <c r="F89" s="480">
        <f t="shared" si="4"/>
        <v>0</v>
      </c>
      <c r="G89" s="479"/>
      <c r="H89" s="480">
        <f t="shared" si="5"/>
        <v>0</v>
      </c>
    </row>
    <row r="90" spans="1:8">
      <c r="A90">
        <f t="shared" si="3"/>
        <v>81</v>
      </c>
      <c r="B90" s="477"/>
      <c r="C90" s="478"/>
      <c r="D90" s="475"/>
      <c r="E90" s="479"/>
      <c r="F90" s="480">
        <f t="shared" si="4"/>
        <v>0</v>
      </c>
      <c r="G90" s="479"/>
      <c r="H90" s="480">
        <f t="shared" si="5"/>
        <v>0</v>
      </c>
    </row>
    <row r="91" spans="1:8">
      <c r="A91">
        <f t="shared" si="3"/>
        <v>82</v>
      </c>
      <c r="B91" s="477"/>
      <c r="C91" s="478"/>
      <c r="D91" s="475"/>
      <c r="E91" s="479"/>
      <c r="F91" s="480">
        <f t="shared" si="4"/>
        <v>0</v>
      </c>
      <c r="G91" s="479"/>
      <c r="H91" s="480">
        <f t="shared" si="5"/>
        <v>0</v>
      </c>
    </row>
    <row r="92" spans="1:8">
      <c r="A92">
        <f t="shared" si="3"/>
        <v>83</v>
      </c>
      <c r="B92" s="477"/>
      <c r="C92" s="478"/>
      <c r="D92" s="475"/>
      <c r="E92" s="479"/>
      <c r="F92" s="480">
        <f t="shared" si="4"/>
        <v>0</v>
      </c>
      <c r="G92" s="479"/>
      <c r="H92" s="480">
        <f t="shared" si="5"/>
        <v>0</v>
      </c>
    </row>
    <row r="93" spans="1:8">
      <c r="A93">
        <f t="shared" si="3"/>
        <v>84</v>
      </c>
      <c r="B93" s="477"/>
      <c r="C93" s="478"/>
      <c r="D93" s="475"/>
      <c r="E93" s="479"/>
      <c r="F93" s="480">
        <f t="shared" si="4"/>
        <v>0</v>
      </c>
      <c r="G93" s="479"/>
      <c r="H93" s="480">
        <f t="shared" si="5"/>
        <v>0</v>
      </c>
    </row>
    <row r="94" spans="1:8">
      <c r="A94">
        <f t="shared" si="3"/>
        <v>85</v>
      </c>
      <c r="B94" s="477"/>
      <c r="C94" s="478"/>
      <c r="D94" s="475"/>
      <c r="E94" s="479"/>
      <c r="F94" s="480">
        <f t="shared" si="4"/>
        <v>0</v>
      </c>
      <c r="G94" s="479"/>
      <c r="H94" s="480">
        <f t="shared" si="5"/>
        <v>0</v>
      </c>
    </row>
    <row r="95" spans="1:8">
      <c r="A95">
        <f t="shared" si="3"/>
        <v>86</v>
      </c>
      <c r="B95" s="477"/>
      <c r="C95" s="478"/>
      <c r="D95" s="475"/>
      <c r="E95" s="479"/>
      <c r="F95" s="480">
        <f t="shared" si="4"/>
        <v>0</v>
      </c>
      <c r="G95" s="479"/>
      <c r="H95" s="480">
        <f t="shared" si="5"/>
        <v>0</v>
      </c>
    </row>
    <row r="96" spans="1:8">
      <c r="A96">
        <f t="shared" si="3"/>
        <v>87</v>
      </c>
      <c r="B96" s="477"/>
      <c r="C96" s="478"/>
      <c r="D96" s="475"/>
      <c r="E96" s="479"/>
      <c r="F96" s="480">
        <f t="shared" si="4"/>
        <v>0</v>
      </c>
      <c r="G96" s="479"/>
      <c r="H96" s="480">
        <f t="shared" si="5"/>
        <v>0</v>
      </c>
    </row>
    <row r="97" spans="1:8">
      <c r="A97">
        <f t="shared" si="3"/>
        <v>88</v>
      </c>
      <c r="B97" s="477"/>
      <c r="C97" s="478"/>
      <c r="D97" s="475"/>
      <c r="E97" s="479"/>
      <c r="F97" s="480">
        <f t="shared" si="4"/>
        <v>0</v>
      </c>
      <c r="G97" s="479"/>
      <c r="H97" s="480">
        <f t="shared" si="5"/>
        <v>0</v>
      </c>
    </row>
    <row r="98" spans="1:8">
      <c r="A98">
        <f t="shared" si="3"/>
        <v>89</v>
      </c>
      <c r="B98" s="477"/>
      <c r="C98" s="478"/>
      <c r="D98" s="475"/>
      <c r="E98" s="479"/>
      <c r="F98" s="480">
        <f t="shared" si="4"/>
        <v>0</v>
      </c>
      <c r="G98" s="479"/>
      <c r="H98" s="480">
        <f t="shared" si="5"/>
        <v>0</v>
      </c>
    </row>
    <row r="99" spans="1:8">
      <c r="A99">
        <f t="shared" si="3"/>
        <v>90</v>
      </c>
      <c r="B99" s="477"/>
      <c r="C99" s="478"/>
      <c r="D99" s="475"/>
      <c r="E99" s="479"/>
      <c r="F99" s="480">
        <f t="shared" si="4"/>
        <v>0</v>
      </c>
      <c r="G99" s="479"/>
      <c r="H99" s="480">
        <f t="shared" si="5"/>
        <v>0</v>
      </c>
    </row>
    <row r="100" spans="1:8">
      <c r="A100">
        <f t="shared" si="3"/>
        <v>91</v>
      </c>
      <c r="B100" s="477"/>
      <c r="C100" s="478"/>
      <c r="D100" s="475"/>
      <c r="E100" s="479"/>
      <c r="F100" s="480">
        <f t="shared" si="4"/>
        <v>0</v>
      </c>
      <c r="G100" s="479"/>
      <c r="H100" s="480">
        <f t="shared" si="5"/>
        <v>0</v>
      </c>
    </row>
    <row r="101" spans="1:8">
      <c r="A101">
        <f t="shared" si="3"/>
        <v>92</v>
      </c>
      <c r="B101" s="477"/>
      <c r="C101" s="478"/>
      <c r="D101" s="475"/>
      <c r="E101" s="479"/>
      <c r="F101" s="480">
        <f t="shared" si="4"/>
        <v>0</v>
      </c>
      <c r="G101" s="479"/>
      <c r="H101" s="480">
        <f t="shared" si="5"/>
        <v>0</v>
      </c>
    </row>
    <row r="102" spans="1:8">
      <c r="A102">
        <f t="shared" si="3"/>
        <v>93</v>
      </c>
      <c r="B102" s="477"/>
      <c r="C102" s="478"/>
      <c r="D102" s="475"/>
      <c r="E102" s="479"/>
      <c r="F102" s="480">
        <f t="shared" si="4"/>
        <v>0</v>
      </c>
      <c r="G102" s="479"/>
      <c r="H102" s="480">
        <f t="shared" si="5"/>
        <v>0</v>
      </c>
    </row>
    <row r="103" spans="1:8">
      <c r="A103">
        <f t="shared" si="3"/>
        <v>94</v>
      </c>
      <c r="B103" s="477"/>
      <c r="C103" s="478"/>
      <c r="D103" s="475"/>
      <c r="E103" s="479"/>
      <c r="F103" s="480">
        <f t="shared" si="4"/>
        <v>0</v>
      </c>
      <c r="G103" s="479"/>
      <c r="H103" s="480">
        <f t="shared" si="5"/>
        <v>0</v>
      </c>
    </row>
    <row r="104" spans="1:8">
      <c r="A104">
        <f t="shared" si="3"/>
        <v>95</v>
      </c>
      <c r="B104" s="477"/>
      <c r="C104" s="478"/>
      <c r="D104" s="475"/>
      <c r="E104" s="479"/>
      <c r="F104" s="480">
        <f t="shared" si="4"/>
        <v>0</v>
      </c>
      <c r="G104" s="479"/>
      <c r="H104" s="480">
        <f t="shared" si="5"/>
        <v>0</v>
      </c>
    </row>
    <row r="105" spans="1:8">
      <c r="A105">
        <f t="shared" si="3"/>
        <v>96</v>
      </c>
      <c r="B105" s="477"/>
      <c r="C105" s="478"/>
      <c r="D105" s="475"/>
      <c r="E105" s="479"/>
      <c r="F105" s="480">
        <f t="shared" si="4"/>
        <v>0</v>
      </c>
      <c r="G105" s="479"/>
      <c r="H105" s="480">
        <f t="shared" si="5"/>
        <v>0</v>
      </c>
    </row>
    <row r="106" spans="1:8">
      <c r="A106">
        <f t="shared" si="3"/>
        <v>97</v>
      </c>
      <c r="B106" s="477"/>
      <c r="C106" s="478"/>
      <c r="D106" s="475"/>
      <c r="E106" s="479"/>
      <c r="F106" s="480">
        <f t="shared" si="4"/>
        <v>0</v>
      </c>
      <c r="G106" s="479"/>
      <c r="H106" s="480">
        <f t="shared" si="5"/>
        <v>0</v>
      </c>
    </row>
    <row r="107" spans="1:8">
      <c r="A107">
        <f t="shared" si="3"/>
        <v>98</v>
      </c>
      <c r="B107" s="477"/>
      <c r="C107" s="478"/>
      <c r="D107" s="475"/>
      <c r="E107" s="479"/>
      <c r="F107" s="480">
        <f t="shared" si="4"/>
        <v>0</v>
      </c>
      <c r="G107" s="479"/>
      <c r="H107" s="480">
        <f t="shared" si="5"/>
        <v>0</v>
      </c>
    </row>
    <row r="108" spans="1:8">
      <c r="A108">
        <f t="shared" si="3"/>
        <v>99</v>
      </c>
      <c r="B108" s="477"/>
      <c r="C108" s="478"/>
      <c r="D108" s="475"/>
      <c r="E108" s="479"/>
      <c r="F108" s="480">
        <f t="shared" si="4"/>
        <v>0</v>
      </c>
      <c r="G108" s="479"/>
      <c r="H108" s="480">
        <f t="shared" si="5"/>
        <v>0</v>
      </c>
    </row>
    <row r="109" spans="1:8">
      <c r="A109">
        <f t="shared" si="3"/>
        <v>100</v>
      </c>
      <c r="B109" s="477"/>
      <c r="C109" s="478"/>
      <c r="D109" s="475"/>
      <c r="E109" s="479"/>
      <c r="F109" s="480">
        <f t="shared" si="4"/>
        <v>0</v>
      </c>
      <c r="G109" s="479"/>
      <c r="H109" s="480">
        <f t="shared" si="5"/>
        <v>0</v>
      </c>
    </row>
    <row r="110" spans="1:8">
      <c r="A110">
        <f t="shared" si="3"/>
        <v>101</v>
      </c>
      <c r="B110" s="477"/>
      <c r="C110" s="478"/>
      <c r="D110" s="475"/>
      <c r="E110" s="479"/>
      <c r="F110" s="480">
        <f t="shared" si="4"/>
        <v>0</v>
      </c>
      <c r="G110" s="479"/>
      <c r="H110" s="480">
        <f t="shared" si="5"/>
        <v>0</v>
      </c>
    </row>
    <row r="111" spans="1:8">
      <c r="A111">
        <f t="shared" si="3"/>
        <v>102</v>
      </c>
      <c r="B111" s="477"/>
      <c r="C111" s="478"/>
      <c r="D111" s="475"/>
      <c r="E111" s="479"/>
      <c r="F111" s="480">
        <f t="shared" si="4"/>
        <v>0</v>
      </c>
      <c r="G111" s="479"/>
      <c r="H111" s="480">
        <f t="shared" si="5"/>
        <v>0</v>
      </c>
    </row>
    <row r="112" spans="1:8">
      <c r="A112">
        <f t="shared" si="3"/>
        <v>103</v>
      </c>
      <c r="B112" s="477"/>
      <c r="C112" s="478"/>
      <c r="D112" s="475"/>
      <c r="E112" s="479"/>
      <c r="F112" s="480">
        <f t="shared" si="4"/>
        <v>0</v>
      </c>
      <c r="G112" s="479"/>
      <c r="H112" s="480">
        <f t="shared" si="5"/>
        <v>0</v>
      </c>
    </row>
    <row r="113" spans="1:8">
      <c r="A113">
        <f t="shared" si="3"/>
        <v>104</v>
      </c>
      <c r="B113" s="477"/>
      <c r="C113" s="478"/>
      <c r="D113" s="475"/>
      <c r="E113" s="479"/>
      <c r="F113" s="480">
        <f t="shared" si="4"/>
        <v>0</v>
      </c>
      <c r="G113" s="479"/>
      <c r="H113" s="480">
        <f t="shared" si="5"/>
        <v>0</v>
      </c>
    </row>
    <row r="114" spans="1:8">
      <c r="A114">
        <f t="shared" si="3"/>
        <v>105</v>
      </c>
      <c r="B114" s="477"/>
      <c r="C114" s="478"/>
      <c r="D114" s="475"/>
      <c r="E114" s="479"/>
      <c r="F114" s="480">
        <f t="shared" si="4"/>
        <v>0</v>
      </c>
      <c r="G114" s="479"/>
      <c r="H114" s="480">
        <f t="shared" si="5"/>
        <v>0</v>
      </c>
    </row>
    <row r="115" spans="1:8">
      <c r="A115">
        <f t="shared" si="3"/>
        <v>106</v>
      </c>
      <c r="B115" s="477"/>
      <c r="C115" s="478"/>
      <c r="D115" s="475"/>
      <c r="E115" s="479"/>
      <c r="F115" s="480">
        <f t="shared" si="4"/>
        <v>0</v>
      </c>
      <c r="G115" s="479"/>
      <c r="H115" s="480">
        <f t="shared" si="5"/>
        <v>0</v>
      </c>
    </row>
    <row r="116" spans="1:8">
      <c r="A116">
        <f t="shared" si="3"/>
        <v>107</v>
      </c>
      <c r="B116" s="477"/>
      <c r="C116" s="478"/>
      <c r="D116" s="475"/>
      <c r="E116" s="479"/>
      <c r="F116" s="480">
        <f t="shared" si="4"/>
        <v>0</v>
      </c>
      <c r="G116" s="479"/>
      <c r="H116" s="480">
        <f t="shared" si="5"/>
        <v>0</v>
      </c>
    </row>
    <row r="117" spans="1:8">
      <c r="A117">
        <f t="shared" si="3"/>
        <v>108</v>
      </c>
      <c r="B117" s="477"/>
      <c r="C117" s="478"/>
      <c r="D117" s="475"/>
      <c r="E117" s="479"/>
      <c r="F117" s="480">
        <f t="shared" si="4"/>
        <v>0</v>
      </c>
      <c r="G117" s="479"/>
      <c r="H117" s="480">
        <f t="shared" si="5"/>
        <v>0</v>
      </c>
    </row>
    <row r="118" spans="1:8">
      <c r="A118">
        <f t="shared" si="3"/>
        <v>109</v>
      </c>
      <c r="B118" s="477"/>
      <c r="C118" s="478"/>
      <c r="D118" s="475"/>
      <c r="E118" s="479"/>
      <c r="F118" s="480">
        <f t="shared" si="4"/>
        <v>0</v>
      </c>
      <c r="G118" s="479"/>
      <c r="H118" s="480">
        <f t="shared" si="5"/>
        <v>0</v>
      </c>
    </row>
    <row r="119" spans="1:8">
      <c r="A119">
        <f t="shared" si="3"/>
        <v>110</v>
      </c>
      <c r="B119" s="477"/>
      <c r="C119" s="478"/>
      <c r="D119" s="475"/>
      <c r="E119" s="479"/>
      <c r="F119" s="480">
        <f t="shared" si="4"/>
        <v>0</v>
      </c>
      <c r="G119" s="479"/>
      <c r="H119" s="480">
        <f t="shared" si="5"/>
        <v>0</v>
      </c>
    </row>
    <row r="120" spans="1:8">
      <c r="A120">
        <f t="shared" si="3"/>
        <v>111</v>
      </c>
      <c r="B120" s="477"/>
      <c r="C120" s="478"/>
      <c r="D120" s="475"/>
      <c r="E120" s="479"/>
      <c r="F120" s="480">
        <f t="shared" si="4"/>
        <v>0</v>
      </c>
      <c r="G120" s="479"/>
      <c r="H120" s="480">
        <f t="shared" si="5"/>
        <v>0</v>
      </c>
    </row>
    <row r="121" spans="1:8">
      <c r="A121">
        <f t="shared" si="3"/>
        <v>112</v>
      </c>
      <c r="B121" s="477"/>
      <c r="C121" s="478"/>
      <c r="D121" s="475"/>
      <c r="E121" s="479"/>
      <c r="F121" s="480">
        <f t="shared" si="4"/>
        <v>0</v>
      </c>
      <c r="G121" s="479"/>
      <c r="H121" s="480">
        <f t="shared" si="5"/>
        <v>0</v>
      </c>
    </row>
    <row r="122" spans="1:8">
      <c r="A122">
        <f t="shared" si="3"/>
        <v>113</v>
      </c>
      <c r="B122" s="477"/>
      <c r="C122" s="478"/>
      <c r="D122" s="475"/>
      <c r="E122" s="479"/>
      <c r="F122" s="480">
        <f t="shared" si="4"/>
        <v>0</v>
      </c>
      <c r="G122" s="479"/>
      <c r="H122" s="480">
        <f t="shared" si="5"/>
        <v>0</v>
      </c>
    </row>
    <row r="123" spans="1:8">
      <c r="A123">
        <f t="shared" si="3"/>
        <v>114</v>
      </c>
      <c r="B123" s="477"/>
      <c r="C123" s="478"/>
      <c r="D123" s="475"/>
      <c r="E123" s="479"/>
      <c r="F123" s="480">
        <f t="shared" si="4"/>
        <v>0</v>
      </c>
      <c r="G123" s="479"/>
      <c r="H123" s="480">
        <f t="shared" si="5"/>
        <v>0</v>
      </c>
    </row>
    <row r="124" spans="1:8">
      <c r="A124">
        <f t="shared" si="3"/>
        <v>115</v>
      </c>
      <c r="B124" s="477"/>
      <c r="C124" s="478"/>
      <c r="D124" s="475"/>
      <c r="E124" s="479"/>
      <c r="F124" s="480">
        <f t="shared" si="4"/>
        <v>0</v>
      </c>
      <c r="G124" s="479"/>
      <c r="H124" s="480">
        <f t="shared" si="5"/>
        <v>0</v>
      </c>
    </row>
    <row r="125" spans="1:8">
      <c r="A125">
        <f t="shared" si="3"/>
        <v>116</v>
      </c>
      <c r="B125" s="477"/>
      <c r="C125" s="478"/>
      <c r="D125" s="475"/>
      <c r="E125" s="479"/>
      <c r="F125" s="480">
        <f t="shared" si="4"/>
        <v>0</v>
      </c>
      <c r="G125" s="479"/>
      <c r="H125" s="480">
        <f t="shared" si="5"/>
        <v>0</v>
      </c>
    </row>
    <row r="126" spans="1:8">
      <c r="A126">
        <f t="shared" si="3"/>
        <v>117</v>
      </c>
      <c r="B126" s="477"/>
      <c r="C126" s="478"/>
      <c r="D126" s="475"/>
      <c r="E126" s="479"/>
      <c r="F126" s="480">
        <f t="shared" si="4"/>
        <v>0</v>
      </c>
      <c r="G126" s="479"/>
      <c r="H126" s="480">
        <f t="shared" si="5"/>
        <v>0</v>
      </c>
    </row>
    <row r="127" spans="1:8">
      <c r="A127">
        <f t="shared" si="3"/>
        <v>118</v>
      </c>
      <c r="B127" s="477"/>
      <c r="C127" s="478"/>
      <c r="D127" s="475"/>
      <c r="E127" s="479"/>
      <c r="F127" s="480">
        <f t="shared" si="4"/>
        <v>0</v>
      </c>
      <c r="G127" s="479"/>
      <c r="H127" s="480">
        <f t="shared" si="5"/>
        <v>0</v>
      </c>
    </row>
    <row r="128" spans="1:8">
      <c r="A128">
        <f t="shared" si="3"/>
        <v>119</v>
      </c>
      <c r="B128" s="477"/>
      <c r="C128" s="478"/>
      <c r="D128" s="475"/>
      <c r="E128" s="479"/>
      <c r="F128" s="480">
        <f t="shared" si="4"/>
        <v>0</v>
      </c>
      <c r="G128" s="479"/>
      <c r="H128" s="480">
        <f t="shared" si="5"/>
        <v>0</v>
      </c>
    </row>
    <row r="129" spans="1:8">
      <c r="A129">
        <f t="shared" si="3"/>
        <v>120</v>
      </c>
      <c r="B129" s="477"/>
      <c r="C129" s="478"/>
      <c r="D129" s="475"/>
      <c r="E129" s="479"/>
      <c r="F129" s="480">
        <f t="shared" si="4"/>
        <v>0</v>
      </c>
      <c r="G129" s="479"/>
      <c r="H129" s="480">
        <f t="shared" si="5"/>
        <v>0</v>
      </c>
    </row>
    <row r="130" spans="1:8">
      <c r="A130">
        <f t="shared" si="3"/>
        <v>121</v>
      </c>
      <c r="B130" s="477"/>
      <c r="C130" s="478"/>
      <c r="D130" s="475"/>
      <c r="E130" s="479"/>
      <c r="F130" s="480">
        <f t="shared" si="4"/>
        <v>0</v>
      </c>
      <c r="G130" s="479"/>
      <c r="H130" s="480">
        <f t="shared" si="5"/>
        <v>0</v>
      </c>
    </row>
    <row r="131" spans="1:8">
      <c r="A131">
        <f t="shared" si="3"/>
        <v>122</v>
      </c>
      <c r="B131" s="477"/>
      <c r="C131" s="478"/>
      <c r="D131" s="475"/>
      <c r="E131" s="479"/>
      <c r="F131" s="480">
        <f t="shared" si="4"/>
        <v>0</v>
      </c>
      <c r="G131" s="479"/>
      <c r="H131" s="480">
        <f t="shared" si="5"/>
        <v>0</v>
      </c>
    </row>
    <row r="132" spans="1:8">
      <c r="A132">
        <f t="shared" si="3"/>
        <v>123</v>
      </c>
      <c r="B132" s="477"/>
      <c r="C132" s="478"/>
      <c r="D132" s="475"/>
      <c r="E132" s="479"/>
      <c r="F132" s="480">
        <f t="shared" si="4"/>
        <v>0</v>
      </c>
      <c r="G132" s="479"/>
      <c r="H132" s="480">
        <f t="shared" si="5"/>
        <v>0</v>
      </c>
    </row>
    <row r="133" spans="1:8">
      <c r="A133">
        <f t="shared" si="3"/>
        <v>124</v>
      </c>
      <c r="B133" s="477"/>
      <c r="C133" s="478"/>
      <c r="D133" s="475"/>
      <c r="E133" s="479"/>
      <c r="F133" s="480">
        <f t="shared" si="4"/>
        <v>0</v>
      </c>
      <c r="G133" s="479"/>
      <c r="H133" s="480">
        <f t="shared" si="5"/>
        <v>0</v>
      </c>
    </row>
    <row r="134" spans="1:8">
      <c r="A134">
        <f t="shared" si="3"/>
        <v>125</v>
      </c>
      <c r="B134" s="477"/>
      <c r="C134" s="478"/>
      <c r="D134" s="475"/>
      <c r="E134" s="479"/>
      <c r="F134" s="480">
        <f t="shared" si="4"/>
        <v>0</v>
      </c>
      <c r="G134" s="479"/>
      <c r="H134" s="480">
        <f t="shared" si="5"/>
        <v>0</v>
      </c>
    </row>
    <row r="135" spans="1:8">
      <c r="A135">
        <f t="shared" si="3"/>
        <v>126</v>
      </c>
      <c r="B135" s="477"/>
      <c r="C135" s="478"/>
      <c r="D135" s="475"/>
      <c r="E135" s="479"/>
      <c r="F135" s="480">
        <f t="shared" si="4"/>
        <v>0</v>
      </c>
      <c r="G135" s="479"/>
      <c r="H135" s="480">
        <f t="shared" si="5"/>
        <v>0</v>
      </c>
    </row>
    <row r="136" spans="1:8">
      <c r="A136">
        <f t="shared" si="3"/>
        <v>127</v>
      </c>
      <c r="B136" s="477"/>
      <c r="C136" s="478"/>
      <c r="D136" s="475"/>
      <c r="E136" s="479"/>
      <c r="F136" s="480">
        <f t="shared" si="4"/>
        <v>0</v>
      </c>
      <c r="G136" s="479"/>
      <c r="H136" s="480">
        <f t="shared" si="5"/>
        <v>0</v>
      </c>
    </row>
    <row r="137" spans="1:8">
      <c r="A137">
        <f t="shared" si="3"/>
        <v>128</v>
      </c>
      <c r="B137" s="477"/>
      <c r="C137" s="478"/>
      <c r="D137" s="475"/>
      <c r="E137" s="479"/>
      <c r="F137" s="480">
        <f t="shared" si="4"/>
        <v>0</v>
      </c>
      <c r="G137" s="479"/>
      <c r="H137" s="480">
        <f t="shared" si="5"/>
        <v>0</v>
      </c>
    </row>
    <row r="138" spans="1:8">
      <c r="A138">
        <f t="shared" si="3"/>
        <v>129</v>
      </c>
      <c r="B138" s="477"/>
      <c r="C138" s="478"/>
      <c r="D138" s="475"/>
      <c r="E138" s="479"/>
      <c r="F138" s="480">
        <f t="shared" si="4"/>
        <v>0</v>
      </c>
      <c r="G138" s="479"/>
      <c r="H138" s="480">
        <f t="shared" si="5"/>
        <v>0</v>
      </c>
    </row>
    <row r="139" spans="1:8">
      <c r="A139">
        <f t="shared" si="3"/>
        <v>130</v>
      </c>
      <c r="B139" s="477"/>
      <c r="C139" s="478"/>
      <c r="D139" s="475"/>
      <c r="E139" s="479"/>
      <c r="F139" s="480">
        <f t="shared" si="4"/>
        <v>0</v>
      </c>
      <c r="G139" s="479"/>
      <c r="H139" s="480">
        <f t="shared" si="5"/>
        <v>0</v>
      </c>
    </row>
    <row r="140" spans="1:8">
      <c r="A140">
        <f t="shared" ref="A140:A160" si="6">A139+1</f>
        <v>131</v>
      </c>
      <c r="B140" s="477"/>
      <c r="C140" s="478"/>
      <c r="D140" s="475"/>
      <c r="E140" s="479"/>
      <c r="F140" s="480">
        <f t="shared" ref="F140:F159" si="7">+C140*E140</f>
        <v>0</v>
      </c>
      <c r="G140" s="479"/>
      <c r="H140" s="480">
        <f t="shared" ref="H140:H159" si="8">+C140*G140</f>
        <v>0</v>
      </c>
    </row>
    <row r="141" spans="1:8">
      <c r="A141">
        <f t="shared" si="6"/>
        <v>132</v>
      </c>
      <c r="B141" s="477"/>
      <c r="C141" s="478"/>
      <c r="D141" s="475"/>
      <c r="E141" s="479"/>
      <c r="F141" s="480">
        <f t="shared" si="7"/>
        <v>0</v>
      </c>
      <c r="G141" s="479"/>
      <c r="H141" s="480">
        <f t="shared" si="8"/>
        <v>0</v>
      </c>
    </row>
    <row r="142" spans="1:8">
      <c r="A142">
        <f t="shared" si="6"/>
        <v>133</v>
      </c>
      <c r="B142" s="477"/>
      <c r="C142" s="478"/>
      <c r="D142" s="475"/>
      <c r="E142" s="479"/>
      <c r="F142" s="480">
        <f t="shared" si="7"/>
        <v>0</v>
      </c>
      <c r="G142" s="479"/>
      <c r="H142" s="480">
        <f t="shared" si="8"/>
        <v>0</v>
      </c>
    </row>
    <row r="143" spans="1:8">
      <c r="A143">
        <f t="shared" si="6"/>
        <v>134</v>
      </c>
      <c r="B143" s="477"/>
      <c r="C143" s="478"/>
      <c r="D143" s="475"/>
      <c r="E143" s="479"/>
      <c r="F143" s="480">
        <f t="shared" si="7"/>
        <v>0</v>
      </c>
      <c r="G143" s="479"/>
      <c r="H143" s="480">
        <f t="shared" si="8"/>
        <v>0</v>
      </c>
    </row>
    <row r="144" spans="1:8">
      <c r="A144">
        <f t="shared" si="6"/>
        <v>135</v>
      </c>
      <c r="B144" s="477"/>
      <c r="C144" s="478"/>
      <c r="D144" s="475"/>
      <c r="E144" s="479"/>
      <c r="F144" s="480">
        <f t="shared" si="7"/>
        <v>0</v>
      </c>
      <c r="G144" s="479"/>
      <c r="H144" s="480">
        <f t="shared" si="8"/>
        <v>0</v>
      </c>
    </row>
    <row r="145" spans="1:8">
      <c r="A145">
        <f t="shared" si="6"/>
        <v>136</v>
      </c>
      <c r="B145" s="477"/>
      <c r="C145" s="478"/>
      <c r="D145" s="475"/>
      <c r="E145" s="479"/>
      <c r="F145" s="480">
        <f t="shared" si="7"/>
        <v>0</v>
      </c>
      <c r="G145" s="479"/>
      <c r="H145" s="480">
        <f t="shared" si="8"/>
        <v>0</v>
      </c>
    </row>
    <row r="146" spans="1:8">
      <c r="A146">
        <f t="shared" si="6"/>
        <v>137</v>
      </c>
      <c r="B146" s="477"/>
      <c r="C146" s="478"/>
      <c r="D146" s="475"/>
      <c r="E146" s="479"/>
      <c r="F146" s="480">
        <f t="shared" si="7"/>
        <v>0</v>
      </c>
      <c r="G146" s="479"/>
      <c r="H146" s="480">
        <f t="shared" si="8"/>
        <v>0</v>
      </c>
    </row>
    <row r="147" spans="1:8">
      <c r="A147">
        <f t="shared" si="6"/>
        <v>138</v>
      </c>
      <c r="B147" s="477"/>
      <c r="C147" s="478"/>
      <c r="D147" s="475"/>
      <c r="E147" s="479"/>
      <c r="F147" s="480">
        <f t="shared" si="7"/>
        <v>0</v>
      </c>
      <c r="G147" s="479"/>
      <c r="H147" s="480">
        <f t="shared" si="8"/>
        <v>0</v>
      </c>
    </row>
    <row r="148" spans="1:8">
      <c r="A148">
        <f t="shared" si="6"/>
        <v>139</v>
      </c>
      <c r="B148" s="477"/>
      <c r="C148" s="478"/>
      <c r="D148" s="475"/>
      <c r="E148" s="479"/>
      <c r="F148" s="480">
        <f t="shared" si="7"/>
        <v>0</v>
      </c>
      <c r="G148" s="479"/>
      <c r="H148" s="480">
        <f t="shared" si="8"/>
        <v>0</v>
      </c>
    </row>
    <row r="149" spans="1:8">
      <c r="A149">
        <f t="shared" si="6"/>
        <v>140</v>
      </c>
      <c r="B149" s="477"/>
      <c r="C149" s="478"/>
      <c r="D149" s="475"/>
      <c r="E149" s="479"/>
      <c r="F149" s="480">
        <f t="shared" si="7"/>
        <v>0</v>
      </c>
      <c r="G149" s="479"/>
      <c r="H149" s="480">
        <f t="shared" si="8"/>
        <v>0</v>
      </c>
    </row>
    <row r="150" spans="1:8">
      <c r="A150">
        <f t="shared" si="6"/>
        <v>141</v>
      </c>
      <c r="B150" s="477"/>
      <c r="C150" s="478"/>
      <c r="D150" s="475"/>
      <c r="E150" s="479"/>
      <c r="F150" s="480">
        <f t="shared" si="7"/>
        <v>0</v>
      </c>
      <c r="G150" s="479"/>
      <c r="H150" s="480">
        <f t="shared" si="8"/>
        <v>0</v>
      </c>
    </row>
    <row r="151" spans="1:8">
      <c r="A151">
        <f t="shared" si="6"/>
        <v>142</v>
      </c>
      <c r="B151" s="477"/>
      <c r="C151" s="478"/>
      <c r="D151" s="475"/>
      <c r="E151" s="479"/>
      <c r="F151" s="480">
        <f t="shared" si="7"/>
        <v>0</v>
      </c>
      <c r="G151" s="479"/>
      <c r="H151" s="480">
        <f t="shared" si="8"/>
        <v>0</v>
      </c>
    </row>
    <row r="152" spans="1:8">
      <c r="A152">
        <f t="shared" si="6"/>
        <v>143</v>
      </c>
      <c r="B152" s="477"/>
      <c r="C152" s="478"/>
      <c r="D152" s="475"/>
      <c r="E152" s="479"/>
      <c r="F152" s="480">
        <f t="shared" si="7"/>
        <v>0</v>
      </c>
      <c r="G152" s="479"/>
      <c r="H152" s="480">
        <f t="shared" si="8"/>
        <v>0</v>
      </c>
    </row>
    <row r="153" spans="1:8">
      <c r="A153">
        <f t="shared" si="6"/>
        <v>144</v>
      </c>
      <c r="B153" s="477"/>
      <c r="C153" s="478"/>
      <c r="D153" s="475"/>
      <c r="E153" s="479"/>
      <c r="F153" s="480">
        <f t="shared" si="7"/>
        <v>0</v>
      </c>
      <c r="G153" s="479"/>
      <c r="H153" s="480">
        <f t="shared" si="8"/>
        <v>0</v>
      </c>
    </row>
    <row r="154" spans="1:8">
      <c r="A154">
        <f t="shared" si="6"/>
        <v>145</v>
      </c>
      <c r="B154" s="477"/>
      <c r="C154" s="478"/>
      <c r="D154" s="475"/>
      <c r="E154" s="479"/>
      <c r="F154" s="480">
        <f t="shared" si="7"/>
        <v>0</v>
      </c>
      <c r="G154" s="479"/>
      <c r="H154" s="480">
        <f t="shared" si="8"/>
        <v>0</v>
      </c>
    </row>
    <row r="155" spans="1:8">
      <c r="A155">
        <f t="shared" si="6"/>
        <v>146</v>
      </c>
      <c r="B155" s="477"/>
      <c r="C155" s="478"/>
      <c r="D155" s="475"/>
      <c r="E155" s="479"/>
      <c r="F155" s="480">
        <f t="shared" si="7"/>
        <v>0</v>
      </c>
      <c r="G155" s="479"/>
      <c r="H155" s="480">
        <f t="shared" si="8"/>
        <v>0</v>
      </c>
    </row>
    <row r="156" spans="1:8">
      <c r="A156">
        <f t="shared" si="6"/>
        <v>147</v>
      </c>
      <c r="B156" s="477"/>
      <c r="C156" s="478"/>
      <c r="D156" s="475"/>
      <c r="E156" s="479"/>
      <c r="F156" s="480">
        <f t="shared" si="7"/>
        <v>0</v>
      </c>
      <c r="G156" s="479"/>
      <c r="H156" s="480">
        <f t="shared" si="8"/>
        <v>0</v>
      </c>
    </row>
    <row r="157" spans="1:8">
      <c r="A157">
        <f t="shared" si="6"/>
        <v>148</v>
      </c>
      <c r="B157" s="477"/>
      <c r="C157" s="478"/>
      <c r="D157" s="475"/>
      <c r="E157" s="479"/>
      <c r="F157" s="480">
        <f t="shared" si="7"/>
        <v>0</v>
      </c>
      <c r="G157" s="479"/>
      <c r="H157" s="480">
        <f t="shared" si="8"/>
        <v>0</v>
      </c>
    </row>
    <row r="158" spans="1:8">
      <c r="A158">
        <f t="shared" si="6"/>
        <v>149</v>
      </c>
      <c r="B158" s="477"/>
      <c r="C158" s="478"/>
      <c r="D158" s="475"/>
      <c r="E158" s="479"/>
      <c r="F158" s="480">
        <f t="shared" si="7"/>
        <v>0</v>
      </c>
      <c r="G158" s="479"/>
      <c r="H158" s="480">
        <f t="shared" si="8"/>
        <v>0</v>
      </c>
    </row>
    <row r="159" spans="1:8">
      <c r="A159">
        <f t="shared" si="6"/>
        <v>150</v>
      </c>
      <c r="B159" s="477"/>
      <c r="C159" s="478"/>
      <c r="D159" s="475"/>
      <c r="E159" s="479"/>
      <c r="F159" s="480">
        <f t="shared" si="7"/>
        <v>0</v>
      </c>
      <c r="G159" s="479"/>
      <c r="H159" s="480">
        <f t="shared" si="8"/>
        <v>0</v>
      </c>
    </row>
    <row r="160" spans="1:8">
      <c r="A160">
        <f t="shared" si="6"/>
        <v>151</v>
      </c>
      <c r="B160" s="733" t="s">
        <v>591</v>
      </c>
      <c r="C160" s="734"/>
      <c r="D160" s="475"/>
      <c r="E160" s="479"/>
      <c r="F160" s="479"/>
      <c r="G160" s="479"/>
      <c r="H160" s="479"/>
    </row>
    <row r="161" spans="1:8">
      <c r="B161" s="1" t="s">
        <v>114</v>
      </c>
      <c r="F161" s="354">
        <f>SUM(F10:F160)</f>
        <v>0</v>
      </c>
      <c r="H161" s="354">
        <f>SUM(H10:H160)</f>
        <v>0</v>
      </c>
    </row>
    <row r="163" spans="1:8">
      <c r="B163" s="242" t="s">
        <v>592</v>
      </c>
    </row>
    <row r="164" spans="1:8">
      <c r="A164">
        <v>1</v>
      </c>
      <c r="B164" s="343"/>
      <c r="C164" s="344"/>
      <c r="D164" s="278"/>
      <c r="E164" s="345"/>
      <c r="F164" s="346">
        <f t="shared" ref="F164:F172" si="9">+C164*E164</f>
        <v>0</v>
      </c>
      <c r="G164" s="345"/>
      <c r="H164" s="346">
        <f t="shared" ref="H164:H172" si="10">+C164*G164</f>
        <v>0</v>
      </c>
    </row>
    <row r="165" spans="1:8">
      <c r="A165">
        <v>2</v>
      </c>
      <c r="B165" s="347"/>
      <c r="C165" s="348"/>
      <c r="D165" s="280"/>
      <c r="E165" s="349"/>
      <c r="F165" s="350">
        <f t="shared" si="9"/>
        <v>0</v>
      </c>
      <c r="G165" s="349"/>
      <c r="H165" s="350">
        <f t="shared" si="10"/>
        <v>0</v>
      </c>
    </row>
    <row r="166" spans="1:8">
      <c r="A166">
        <v>3</v>
      </c>
      <c r="B166" s="347"/>
      <c r="C166" s="348"/>
      <c r="D166" s="280"/>
      <c r="E166" s="349"/>
      <c r="F166" s="350">
        <f t="shared" si="9"/>
        <v>0</v>
      </c>
      <c r="G166" s="349"/>
      <c r="H166" s="350">
        <f t="shared" si="10"/>
        <v>0</v>
      </c>
    </row>
    <row r="167" spans="1:8">
      <c r="A167">
        <v>4</v>
      </c>
      <c r="B167" s="349"/>
      <c r="C167" s="348"/>
      <c r="D167" s="280"/>
      <c r="E167" s="349"/>
      <c r="F167" s="350">
        <f t="shared" si="9"/>
        <v>0</v>
      </c>
      <c r="G167" s="349"/>
      <c r="H167" s="350">
        <f t="shared" si="10"/>
        <v>0</v>
      </c>
    </row>
    <row r="168" spans="1:8">
      <c r="A168">
        <v>5</v>
      </c>
      <c r="B168" s="349"/>
      <c r="C168" s="348"/>
      <c r="D168" s="280"/>
      <c r="E168" s="349"/>
      <c r="F168" s="350">
        <f t="shared" si="9"/>
        <v>0</v>
      </c>
      <c r="G168" s="349"/>
      <c r="H168" s="350">
        <f t="shared" si="10"/>
        <v>0</v>
      </c>
    </row>
    <row r="169" spans="1:8">
      <c r="A169">
        <v>6</v>
      </c>
      <c r="B169" s="349"/>
      <c r="C169" s="348"/>
      <c r="D169" s="280"/>
      <c r="E169" s="349"/>
      <c r="F169" s="350">
        <f t="shared" si="9"/>
        <v>0</v>
      </c>
      <c r="G169" s="349"/>
      <c r="H169" s="350">
        <f t="shared" si="10"/>
        <v>0</v>
      </c>
    </row>
    <row r="170" spans="1:8">
      <c r="A170">
        <v>7</v>
      </c>
      <c r="B170" s="349"/>
      <c r="C170" s="348"/>
      <c r="D170" s="280"/>
      <c r="E170" s="349"/>
      <c r="F170" s="350">
        <f t="shared" si="9"/>
        <v>0</v>
      </c>
      <c r="G170" s="349"/>
      <c r="H170" s="350">
        <f t="shared" si="10"/>
        <v>0</v>
      </c>
    </row>
    <row r="171" spans="1:8">
      <c r="A171">
        <v>8</v>
      </c>
      <c r="B171" s="349"/>
      <c r="C171" s="348"/>
      <c r="D171" s="280"/>
      <c r="E171" s="349"/>
      <c r="F171" s="350">
        <f t="shared" si="9"/>
        <v>0</v>
      </c>
      <c r="G171" s="349"/>
      <c r="H171" s="350">
        <f t="shared" si="10"/>
        <v>0</v>
      </c>
    </row>
    <row r="172" spans="1:8">
      <c r="A172">
        <v>9</v>
      </c>
      <c r="B172" s="349"/>
      <c r="C172" s="348"/>
      <c r="D172" s="280"/>
      <c r="E172" s="349"/>
      <c r="F172" s="350">
        <f t="shared" si="9"/>
        <v>0</v>
      </c>
      <c r="G172" s="349"/>
      <c r="H172" s="350">
        <f t="shared" si="10"/>
        <v>0</v>
      </c>
    </row>
    <row r="173" spans="1:8">
      <c r="A173">
        <v>10</v>
      </c>
      <c r="B173" s="352"/>
      <c r="C173" s="353"/>
      <c r="D173" s="294"/>
      <c r="E173" s="352"/>
      <c r="F173" s="350">
        <f>+C173*E173</f>
        <v>0</v>
      </c>
      <c r="G173" s="349"/>
      <c r="H173" s="350">
        <f>+C173*G173</f>
        <v>0</v>
      </c>
    </row>
    <row r="174" spans="1:8">
      <c r="A174">
        <v>11</v>
      </c>
      <c r="B174" s="735" t="s">
        <v>591</v>
      </c>
      <c r="C174" s="736"/>
      <c r="D174" s="282"/>
      <c r="E174" s="351"/>
      <c r="F174" s="351"/>
      <c r="G174" s="351"/>
      <c r="H174" s="351"/>
    </row>
    <row r="175" spans="1:8" s="1" customFormat="1">
      <c r="B175" s="1" t="s">
        <v>114</v>
      </c>
      <c r="C175" s="293"/>
      <c r="F175" s="284">
        <f>SUM(F164:F174)</f>
        <v>0</v>
      </c>
      <c r="G175" s="241"/>
      <c r="H175" s="284">
        <f>SUM(H164:H174)</f>
        <v>0</v>
      </c>
    </row>
    <row r="176" spans="1:8" customFormat="1">
      <c r="C176" s="338"/>
      <c r="F176" s="339"/>
      <c r="G176" s="339"/>
      <c r="H176" s="339"/>
    </row>
  </sheetData>
  <sheetProtection password="9399" sheet="1" objects="1" scenarios="1"/>
  <customSheetViews>
    <customSheetView guid="{504CC784-4394-4648-B9CE-DFC32001696E}" showGridLines="0" hiddenColumns="1" showRuler="0">
      <pane xSplit="1" ySplit="3" topLeftCell="B4" activePane="bottomRight" state="frozen"/>
      <selection pane="bottomRight" activeCell="H21" sqref="H21"/>
      <pageMargins left="0" right="0" top="0" bottom="0" header="0" footer="0"/>
      <pageSetup scale="85" orientation="portrait" r:id="rId1"/>
      <headerFooter alignWithMargins="0"/>
    </customSheetView>
  </customSheetViews>
  <phoneticPr fontId="22" type="noConversion"/>
  <pageMargins left="0.75" right="0.75" top="1" bottom="1" header="0.5" footer="0.5"/>
  <pageSetup scale="85"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885825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1</xdr:col>
                    <xdr:colOff>885825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0419C-837A-4254-BAFB-12580A56174D}">
  <sheetPr codeName="Sheet19">
    <pageSetUpPr fitToPage="1"/>
  </sheetPr>
  <dimension ref="A1:I24"/>
  <sheetViews>
    <sheetView showGridLines="0" zoomScaleNormal="100" workbookViewId="0">
      <pane ySplit="6" topLeftCell="A7" activePane="bottomLeft" state="frozen"/>
      <selection pane="bottomLeft" activeCell="I14" sqref="I14"/>
      <selection activeCell="G2" sqref="G2"/>
    </sheetView>
  </sheetViews>
  <sheetFormatPr defaultRowHeight="12.75"/>
  <cols>
    <col min="1" max="1" width="2.5703125" bestFit="1" customWidth="1"/>
    <col min="2" max="2" width="66.5703125" customWidth="1"/>
    <col min="3" max="3" width="3.5703125" customWidth="1"/>
    <col min="4" max="4" width="23" customWidth="1"/>
  </cols>
  <sheetData>
    <row r="1" spans="1:9">
      <c r="A1" s="124"/>
      <c r="B1" s="264" t="str">
        <f>+'trial balance'!A1</f>
        <v>NAME OF THE TRADING PARTICIPANT</v>
      </c>
      <c r="C1" s="156"/>
      <c r="D1" s="124"/>
    </row>
    <row r="2" spans="1:9">
      <c r="A2" s="464"/>
      <c r="B2" s="76" t="s">
        <v>593</v>
      </c>
      <c r="C2" s="464"/>
      <c r="D2" s="464"/>
    </row>
    <row r="3" spans="1:9">
      <c r="B3" s="1" t="s">
        <v>594</v>
      </c>
      <c r="C3" s="75"/>
      <c r="D3" s="75"/>
    </row>
    <row r="4" spans="1:9">
      <c r="B4" s="464" t="str">
        <f>+'trial balance'!A3</f>
        <v>mm/dd/yyyy</v>
      </c>
      <c r="C4" s="156"/>
      <c r="D4" s="156"/>
    </row>
    <row r="5" spans="1:9">
      <c r="C5" s="76"/>
      <c r="D5" s="76"/>
    </row>
    <row r="6" spans="1:9">
      <c r="B6" s="257"/>
      <c r="C6" s="257"/>
      <c r="D6" s="256"/>
    </row>
    <row r="7" spans="1:9">
      <c r="A7" s="298"/>
    </row>
    <row r="8" spans="1:9" ht="27.75" customHeight="1">
      <c r="A8" s="445"/>
      <c r="B8" s="111" t="s">
        <v>157</v>
      </c>
      <c r="C8" s="111"/>
      <c r="D8" s="440" t="s">
        <v>158</v>
      </c>
      <c r="E8" s="273"/>
      <c r="F8" s="273"/>
      <c r="G8" s="273"/>
      <c r="H8" s="273"/>
      <c r="I8" s="273"/>
    </row>
    <row r="9" spans="1:9">
      <c r="A9" s="298"/>
      <c r="D9" s="441"/>
    </row>
    <row r="10" spans="1:9" ht="14.25">
      <c r="A10" s="442" t="str">
        <f>1&amp;"."</f>
        <v>1.</v>
      </c>
      <c r="B10" s="439" t="s">
        <v>595</v>
      </c>
      <c r="C10" s="439"/>
      <c r="D10" s="450">
        <f>'Financial Statements'!I114</f>
        <v>0</v>
      </c>
    </row>
    <row r="11" spans="1:9" ht="14.25">
      <c r="A11" s="442" t="str">
        <f t="shared" ref="A11:A16" si="0">A10+1&amp;"."</f>
        <v>2.</v>
      </c>
      <c r="B11" s="439" t="s">
        <v>596</v>
      </c>
      <c r="C11" s="439"/>
      <c r="D11" s="450">
        <f>'Financial Statements'!I113</f>
        <v>0</v>
      </c>
    </row>
    <row r="12" spans="1:9" ht="14.25">
      <c r="A12" s="442" t="str">
        <f t="shared" si="0"/>
        <v>3.</v>
      </c>
      <c r="B12" s="439" t="s">
        <v>597</v>
      </c>
      <c r="C12" s="439"/>
      <c r="D12" s="732"/>
    </row>
    <row r="13" spans="1:9" ht="14.25">
      <c r="A13" s="442" t="str">
        <f t="shared" si="0"/>
        <v>4.</v>
      </c>
      <c r="B13" s="439" t="s">
        <v>598</v>
      </c>
      <c r="C13" s="439"/>
      <c r="D13" s="732"/>
    </row>
    <row r="14" spans="1:9" ht="14.25">
      <c r="A14" s="442" t="str">
        <f t="shared" si="0"/>
        <v>5.</v>
      </c>
      <c r="B14" s="439" t="s">
        <v>599</v>
      </c>
      <c r="C14" s="439"/>
      <c r="D14" s="450">
        <f>+'Financial Statements'!I115+'Financial Statements'!J117+Others!F22</f>
        <v>0</v>
      </c>
    </row>
    <row r="15" spans="1:9" ht="14.25">
      <c r="A15" s="442" t="str">
        <f t="shared" si="0"/>
        <v>6.</v>
      </c>
      <c r="B15" s="439" t="s">
        <v>600</v>
      </c>
      <c r="C15" s="439"/>
      <c r="D15" s="732"/>
    </row>
    <row r="16" spans="1:9" ht="14.25">
      <c r="A16" s="442" t="str">
        <f t="shared" si="0"/>
        <v>7.</v>
      </c>
      <c r="B16" s="439" t="s">
        <v>601</v>
      </c>
      <c r="C16" s="439"/>
      <c r="D16" s="450">
        <f>'Financial Statements'!J159</f>
        <v>0</v>
      </c>
    </row>
    <row r="17" spans="1:4" ht="14.25">
      <c r="A17" s="298"/>
      <c r="C17" s="439"/>
      <c r="D17" s="441"/>
    </row>
    <row r="18" spans="1:4" ht="14.25">
      <c r="A18" s="299"/>
      <c r="B18" s="446"/>
      <c r="C18" s="446"/>
      <c r="D18" s="557"/>
    </row>
    <row r="19" spans="1:4" ht="16.5" customHeight="1" thickBot="1">
      <c r="A19" s="308"/>
      <c r="B19" s="443" t="s">
        <v>602</v>
      </c>
      <c r="C19" s="443"/>
      <c r="D19" s="444">
        <f>SUM(D10:D18)</f>
        <v>0</v>
      </c>
    </row>
    <row r="20" spans="1:4" ht="15.75" customHeight="1" thickTop="1">
      <c r="B20" s="113"/>
      <c r="C20" s="113"/>
      <c r="D20" s="1"/>
    </row>
    <row r="21" spans="1:4" ht="15.75" customHeight="1">
      <c r="B21" s="874" t="s">
        <v>603</v>
      </c>
      <c r="C21" s="874"/>
      <c r="D21" s="874"/>
    </row>
    <row r="22" spans="1:4" ht="15.75" customHeight="1">
      <c r="B22" s="800" t="s">
        <v>604</v>
      </c>
      <c r="C22" s="800"/>
    </row>
    <row r="23" spans="1:4">
      <c r="B23" s="800" t="s">
        <v>605</v>
      </c>
      <c r="C23" s="800"/>
    </row>
    <row r="24" spans="1:4">
      <c r="B24" t="s">
        <v>606</v>
      </c>
      <c r="D24" s="151"/>
    </row>
  </sheetData>
  <sheetProtection password="9399" sheet="1" objects="1" scenarios="1"/>
  <customSheetViews>
    <customSheetView guid="{504CC784-4394-4648-B9CE-DFC32001696E}" showGridLines="0" fitToPage="1" showRuler="0">
      <pane ySplit="6" topLeftCell="A9" activePane="bottomLeft" state="frozen"/>
      <selection pane="bottomLeft" activeCell="D14" sqref="D14"/>
      <pageMargins left="0" right="0" top="0" bottom="0" header="0" footer="0"/>
      <printOptions horizontalCentered="1"/>
      <pageSetup orientation="landscape" r:id="rId1"/>
      <headerFooter alignWithMargins="0"/>
    </customSheetView>
  </customSheetViews>
  <mergeCells count="1">
    <mergeCell ref="B21:D21"/>
  </mergeCells>
  <phoneticPr fontId="22" type="noConversion"/>
  <printOptions horizontalCentered="1"/>
  <pageMargins left="0.75" right="0.75" top="1" bottom="1" header="0.5" footer="0.5"/>
  <pageSetup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1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971550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2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971550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12D69-AF6A-41A5-96D1-DD1CC1B1EB9F}">
  <sheetPr codeName="Sheet8">
    <pageSetUpPr fitToPage="1"/>
  </sheetPr>
  <dimension ref="A1:G100"/>
  <sheetViews>
    <sheetView showGridLines="0" zoomScaleNormal="100" workbookViewId="0">
      <pane ySplit="3" topLeftCell="A4" activePane="bottomLeft" state="frozen"/>
      <selection pane="bottomLeft" activeCell="E11" sqref="E11"/>
      <selection activeCell="A7" sqref="A7"/>
    </sheetView>
  </sheetViews>
  <sheetFormatPr defaultColWidth="9.28515625" defaultRowHeight="12.75"/>
  <cols>
    <col min="1" max="1" width="5" style="146" customWidth="1"/>
    <col min="2" max="2" width="50.7109375" style="146" bestFit="1" customWidth="1"/>
    <col min="3" max="3" width="15.5703125" style="146" customWidth="1"/>
    <col min="4" max="4" width="10.7109375" style="146" customWidth="1"/>
    <col min="5" max="5" width="17.42578125" style="147" customWidth="1"/>
    <col min="6" max="6" width="20.7109375" style="146" customWidth="1"/>
    <col min="7" max="16384" width="9.28515625" style="146"/>
  </cols>
  <sheetData>
    <row r="1" spans="1:7" customFormat="1" ht="15">
      <c r="A1" s="877" t="str">
        <f>+'trial balance'!A1</f>
        <v>NAME OF THE TRADING PARTICIPANT</v>
      </c>
      <c r="B1" s="878"/>
      <c r="C1" s="878"/>
      <c r="D1" s="878"/>
      <c r="E1" s="878"/>
      <c r="F1" s="102"/>
      <c r="G1" s="102"/>
    </row>
    <row r="2" spans="1:7" customFormat="1" ht="15">
      <c r="A2" s="879" t="s">
        <v>607</v>
      </c>
      <c r="B2" s="879"/>
      <c r="C2" s="879"/>
      <c r="D2" s="879"/>
      <c r="E2" s="879"/>
      <c r="F2" s="14"/>
      <c r="G2" s="14"/>
    </row>
    <row r="3" spans="1:7" customFormat="1" ht="15">
      <c r="A3" s="880" t="str">
        <f>+'trial balance'!A3</f>
        <v>mm/dd/yyyy</v>
      </c>
      <c r="B3" s="880"/>
      <c r="C3" s="880"/>
      <c r="D3" s="880"/>
      <c r="E3" s="880"/>
      <c r="F3" s="102"/>
      <c r="G3" s="102"/>
    </row>
    <row r="4" spans="1:7" customFormat="1" ht="15">
      <c r="A4" s="12"/>
      <c r="B4" s="12"/>
      <c r="C4" s="12"/>
      <c r="D4" s="12"/>
      <c r="E4" s="87"/>
      <c r="F4" s="12"/>
      <c r="G4" s="12"/>
    </row>
    <row r="5" spans="1:7" customFormat="1" ht="15">
      <c r="A5" s="12"/>
      <c r="B5" s="12"/>
      <c r="C5" s="12"/>
      <c r="D5" s="12"/>
      <c r="E5" s="87"/>
      <c r="F5" s="12"/>
      <c r="G5" s="12"/>
    </row>
    <row r="6" spans="1:7" customFormat="1">
      <c r="A6" s="881" t="s">
        <v>608</v>
      </c>
      <c r="B6" s="881"/>
      <c r="E6" s="90"/>
    </row>
    <row r="7" spans="1:7" customFormat="1">
      <c r="A7" s="2"/>
      <c r="B7" s="2"/>
      <c r="C7" s="2"/>
      <c r="D7" s="2"/>
      <c r="E7" s="88" t="s">
        <v>609</v>
      </c>
      <c r="F7" s="2"/>
      <c r="G7" s="2"/>
    </row>
    <row r="8" spans="1:7" customFormat="1" ht="13.5" thickBot="1">
      <c r="A8" s="2"/>
      <c r="B8" s="481" t="s">
        <v>610</v>
      </c>
      <c r="C8" s="13" t="s">
        <v>611</v>
      </c>
      <c r="D8" s="13" t="s">
        <v>612</v>
      </c>
      <c r="E8" s="89" t="s">
        <v>112</v>
      </c>
      <c r="F8" s="2"/>
      <c r="G8" s="2"/>
    </row>
    <row r="9" spans="1:7" customFormat="1">
      <c r="E9" s="90"/>
    </row>
    <row r="10" spans="1:7" customFormat="1">
      <c r="A10">
        <v>1</v>
      </c>
      <c r="B10" s="278"/>
      <c r="C10" s="278"/>
      <c r="D10" s="278"/>
      <c r="E10" s="279"/>
    </row>
    <row r="11" spans="1:7" customFormat="1">
      <c r="A11">
        <v>2</v>
      </c>
      <c r="B11" s="280"/>
      <c r="C11" s="280"/>
      <c r="D11" s="280"/>
      <c r="E11" s="281"/>
    </row>
    <row r="12" spans="1:7" customFormat="1">
      <c r="A12">
        <v>3</v>
      </c>
      <c r="B12" s="280"/>
      <c r="C12" s="280"/>
      <c r="D12" s="280"/>
      <c r="E12" s="281"/>
    </row>
    <row r="13" spans="1:7" customFormat="1">
      <c r="A13">
        <v>4</v>
      </c>
      <c r="B13" s="280"/>
      <c r="C13" s="280"/>
      <c r="D13" s="280"/>
      <c r="E13" s="281"/>
    </row>
    <row r="14" spans="1:7" customFormat="1">
      <c r="A14">
        <v>5</v>
      </c>
      <c r="B14" s="280"/>
      <c r="C14" s="280"/>
      <c r="D14" s="280"/>
      <c r="E14" s="281"/>
    </row>
    <row r="15" spans="1:7" customFormat="1">
      <c r="A15">
        <v>6</v>
      </c>
      <c r="B15" s="280"/>
      <c r="C15" s="280"/>
      <c r="D15" s="280"/>
      <c r="E15" s="281"/>
    </row>
    <row r="16" spans="1:7" customFormat="1">
      <c r="A16">
        <v>7</v>
      </c>
      <c r="B16" s="280"/>
      <c r="C16" s="280"/>
      <c r="D16" s="280"/>
      <c r="E16" s="281"/>
    </row>
    <row r="17" spans="1:5" customFormat="1">
      <c r="A17">
        <v>8</v>
      </c>
      <c r="B17" s="280"/>
      <c r="C17" s="280"/>
      <c r="D17" s="280"/>
      <c r="E17" s="281"/>
    </row>
    <row r="18" spans="1:5" customFormat="1">
      <c r="A18">
        <v>9</v>
      </c>
      <c r="B18" s="280"/>
      <c r="C18" s="280"/>
      <c r="D18" s="280"/>
      <c r="E18" s="281"/>
    </row>
    <row r="19" spans="1:5" customFormat="1">
      <c r="A19">
        <v>10</v>
      </c>
      <c r="B19" s="280"/>
      <c r="C19" s="280"/>
      <c r="D19" s="280"/>
      <c r="E19" s="281"/>
    </row>
    <row r="20" spans="1:5" customFormat="1">
      <c r="A20">
        <v>11</v>
      </c>
      <c r="B20" s="280"/>
      <c r="C20" s="280"/>
      <c r="D20" s="280"/>
      <c r="E20" s="281"/>
    </row>
    <row r="21" spans="1:5" customFormat="1">
      <c r="A21">
        <v>12</v>
      </c>
      <c r="B21" s="280"/>
      <c r="C21" s="280"/>
      <c r="D21" s="280"/>
      <c r="E21" s="281"/>
    </row>
    <row r="22" spans="1:5" customFormat="1">
      <c r="A22">
        <v>13</v>
      </c>
      <c r="B22" s="280"/>
      <c r="C22" s="280"/>
      <c r="D22" s="280"/>
      <c r="E22" s="281"/>
    </row>
    <row r="23" spans="1:5" customFormat="1">
      <c r="A23">
        <v>14</v>
      </c>
      <c r="B23" s="280"/>
      <c r="C23" s="280"/>
      <c r="D23" s="280"/>
      <c r="E23" s="281"/>
    </row>
    <row r="24" spans="1:5" customFormat="1">
      <c r="A24">
        <v>15</v>
      </c>
      <c r="B24" s="280"/>
      <c r="C24" s="280"/>
      <c r="D24" s="280"/>
      <c r="E24" s="281"/>
    </row>
    <row r="25" spans="1:5" customFormat="1">
      <c r="A25">
        <v>16</v>
      </c>
      <c r="B25" s="730" t="s">
        <v>613</v>
      </c>
      <c r="C25" s="730"/>
      <c r="D25" s="730"/>
      <c r="E25" s="283"/>
    </row>
    <row r="26" spans="1:5" customFormat="1" ht="13.5" thickBot="1">
      <c r="E26" s="759">
        <f>SUM(E10:E25)</f>
        <v>0</v>
      </c>
    </row>
    <row r="27" spans="1:5" customFormat="1" ht="13.5" thickTop="1">
      <c r="E27" s="90"/>
    </row>
    <row r="28" spans="1:5" customFormat="1">
      <c r="E28" s="90"/>
    </row>
    <row r="29" spans="1:5" customFormat="1">
      <c r="A29" s="1" t="s">
        <v>614</v>
      </c>
      <c r="B29" s="1"/>
      <c r="E29" s="90"/>
    </row>
    <row r="30" spans="1:5" customFormat="1">
      <c r="E30" s="90"/>
    </row>
    <row r="31" spans="1:5" customFormat="1">
      <c r="A31" s="2"/>
      <c r="B31" s="2"/>
      <c r="C31" s="2"/>
      <c r="D31" s="2"/>
      <c r="E31" s="88" t="s">
        <v>615</v>
      </c>
    </row>
    <row r="32" spans="1:5" customFormat="1" ht="13.5" thickBot="1">
      <c r="A32" s="13"/>
      <c r="B32" s="13" t="s">
        <v>616</v>
      </c>
      <c r="C32" s="13" t="s">
        <v>611</v>
      </c>
      <c r="D32" s="13" t="s">
        <v>612</v>
      </c>
      <c r="E32" s="89" t="s">
        <v>112</v>
      </c>
    </row>
    <row r="33" spans="1:6" customFormat="1">
      <c r="E33" s="90"/>
    </row>
    <row r="34" spans="1:6" customFormat="1">
      <c r="A34">
        <v>1</v>
      </c>
      <c r="B34" s="278"/>
      <c r="C34" s="278"/>
      <c r="D34" s="278"/>
      <c r="E34" s="279"/>
    </row>
    <row r="35" spans="1:6" customFormat="1">
      <c r="A35">
        <v>2</v>
      </c>
      <c r="B35" s="280"/>
      <c r="C35" s="280"/>
      <c r="D35" s="280"/>
      <c r="E35" s="281"/>
    </row>
    <row r="36" spans="1:6" customFormat="1">
      <c r="A36">
        <v>3</v>
      </c>
      <c r="B36" s="280"/>
      <c r="C36" s="280"/>
      <c r="D36" s="280"/>
      <c r="E36" s="281"/>
    </row>
    <row r="37" spans="1:6" customFormat="1">
      <c r="A37">
        <v>4</v>
      </c>
      <c r="B37" s="280"/>
      <c r="C37" s="280"/>
      <c r="D37" s="280"/>
      <c r="E37" s="281"/>
    </row>
    <row r="38" spans="1:6" customFormat="1">
      <c r="A38">
        <v>5</v>
      </c>
      <c r="B38" s="280"/>
      <c r="C38" s="280"/>
      <c r="D38" s="280"/>
      <c r="E38" s="281"/>
    </row>
    <row r="39" spans="1:6" customFormat="1">
      <c r="A39">
        <v>6</v>
      </c>
      <c r="B39" s="280"/>
      <c r="C39" s="280"/>
      <c r="D39" s="280"/>
      <c r="E39" s="281"/>
    </row>
    <row r="40" spans="1:6" customFormat="1">
      <c r="A40">
        <v>7</v>
      </c>
      <c r="B40" s="282"/>
      <c r="C40" s="282"/>
      <c r="D40" s="282"/>
      <c r="E40" s="283"/>
    </row>
    <row r="41" spans="1:6" customFormat="1" ht="13.5" thickBot="1">
      <c r="E41" s="758">
        <f>SUM(E34:E40)</f>
        <v>0</v>
      </c>
    </row>
    <row r="42" spans="1:6" customFormat="1" ht="13.5" thickTop="1">
      <c r="E42" s="90"/>
    </row>
    <row r="43" spans="1:6" customFormat="1">
      <c r="E43" s="90"/>
    </row>
    <row r="44" spans="1:6" customFormat="1">
      <c r="A44" s="1" t="s">
        <v>617</v>
      </c>
      <c r="B44" s="1"/>
      <c r="E44" s="90"/>
    </row>
    <row r="45" spans="1:6" customFormat="1">
      <c r="E45" s="90"/>
    </row>
    <row r="46" spans="1:6" customFormat="1" ht="13.15" customHeight="1">
      <c r="A46" s="2"/>
      <c r="B46" s="2"/>
      <c r="C46" s="2"/>
      <c r="D46" s="2"/>
      <c r="E46" s="88"/>
      <c r="F46" s="875" t="s">
        <v>618</v>
      </c>
    </row>
    <row r="47" spans="1:6" customFormat="1" ht="13.5" thickBot="1">
      <c r="A47" s="2"/>
      <c r="B47" s="13" t="s">
        <v>616</v>
      </c>
      <c r="C47" s="13" t="s">
        <v>611</v>
      </c>
      <c r="D47" s="13" t="s">
        <v>612</v>
      </c>
      <c r="E47" s="89" t="s">
        <v>112</v>
      </c>
      <c r="F47" s="876"/>
    </row>
    <row r="48" spans="1:6" customFormat="1">
      <c r="E48" s="90"/>
    </row>
    <row r="49" spans="1:6" customFormat="1">
      <c r="A49">
        <v>1</v>
      </c>
      <c r="B49" s="278"/>
      <c r="C49" s="278"/>
      <c r="D49" s="278"/>
      <c r="E49" s="279"/>
      <c r="F49" s="279"/>
    </row>
    <row r="50" spans="1:6" customFormat="1">
      <c r="A50">
        <v>2</v>
      </c>
      <c r="B50" s="280"/>
      <c r="C50" s="280"/>
      <c r="D50" s="280"/>
      <c r="E50" s="281"/>
      <c r="F50" s="281"/>
    </row>
    <row r="51" spans="1:6" customFormat="1">
      <c r="A51">
        <v>3</v>
      </c>
      <c r="B51" s="280"/>
      <c r="C51" s="280"/>
      <c r="D51" s="280"/>
      <c r="E51" s="281"/>
      <c r="F51" s="281"/>
    </row>
    <row r="52" spans="1:6" customFormat="1">
      <c r="A52">
        <v>4</v>
      </c>
      <c r="B52" s="280"/>
      <c r="C52" s="280"/>
      <c r="D52" s="280"/>
      <c r="E52" s="281"/>
      <c r="F52" s="281"/>
    </row>
    <row r="53" spans="1:6" customFormat="1">
      <c r="A53">
        <v>5</v>
      </c>
      <c r="B53" s="282"/>
      <c r="C53" s="282"/>
      <c r="D53" s="282"/>
      <c r="E53" s="283"/>
      <c r="F53" s="283"/>
    </row>
    <row r="54" spans="1:6" customFormat="1" ht="13.5" thickBot="1">
      <c r="E54" s="759">
        <f>SUM(E49:E53)</f>
        <v>0</v>
      </c>
    </row>
    <row r="55" spans="1:6" customFormat="1" ht="13.5" thickTop="1">
      <c r="E55" s="90"/>
    </row>
    <row r="56" spans="1:6" customFormat="1">
      <c r="E56" s="90"/>
    </row>
    <row r="57" spans="1:6" customFormat="1">
      <c r="E57" s="90"/>
    </row>
    <row r="58" spans="1:6" customFormat="1">
      <c r="E58" s="90"/>
    </row>
    <row r="59" spans="1:6" customFormat="1">
      <c r="E59" s="90"/>
    </row>
    <row r="60" spans="1:6" customFormat="1">
      <c r="E60" s="90"/>
    </row>
    <row r="61" spans="1:6">
      <c r="B61" s="755" t="s">
        <v>619</v>
      </c>
      <c r="F61" s="875" t="s">
        <v>618</v>
      </c>
    </row>
    <row r="62" spans="1:6" ht="13.5" thickBot="1">
      <c r="B62" s="13" t="s">
        <v>616</v>
      </c>
      <c r="C62" s="13" t="s">
        <v>611</v>
      </c>
      <c r="D62" s="13" t="s">
        <v>612</v>
      </c>
      <c r="E62" s="89" t="s">
        <v>112</v>
      </c>
      <c r="F62" s="876"/>
    </row>
    <row r="63" spans="1:6">
      <c r="B63" s="278"/>
      <c r="C63" s="278"/>
      <c r="D63" s="278"/>
      <c r="E63" s="279"/>
      <c r="F63" s="603"/>
    </row>
    <row r="64" spans="1:6">
      <c r="B64" s="278"/>
      <c r="C64" s="278"/>
      <c r="D64" s="278"/>
      <c r="E64" s="279"/>
      <c r="F64" s="279"/>
    </row>
    <row r="65" spans="2:6">
      <c r="B65" s="278"/>
      <c r="C65" s="278"/>
      <c r="D65" s="278"/>
      <c r="E65" s="279"/>
      <c r="F65" s="279"/>
    </row>
    <row r="66" spans="2:6">
      <c r="B66" s="278"/>
      <c r="C66" s="278"/>
      <c r="D66" s="278"/>
      <c r="E66" s="279"/>
      <c r="F66" s="279"/>
    </row>
    <row r="67" spans="2:6">
      <c r="B67" s="278"/>
      <c r="C67" s="278"/>
      <c r="D67" s="278"/>
      <c r="E67" s="279"/>
      <c r="F67" s="279"/>
    </row>
    <row r="68" spans="2:6">
      <c r="B68" s="278"/>
      <c r="C68" s="278"/>
      <c r="D68" s="278"/>
      <c r="E68" s="279"/>
      <c r="F68" s="279"/>
    </row>
    <row r="69" spans="2:6">
      <c r="B69" s="278"/>
      <c r="C69" s="278"/>
      <c r="D69" s="278"/>
      <c r="E69" s="279"/>
      <c r="F69" s="279"/>
    </row>
    <row r="70" spans="2:6">
      <c r="B70" s="278"/>
      <c r="C70" s="278"/>
      <c r="D70" s="278"/>
      <c r="E70" s="279"/>
      <c r="F70" s="279"/>
    </row>
    <row r="71" spans="2:6">
      <c r="B71" s="278"/>
      <c r="C71" s="278"/>
      <c r="D71" s="278"/>
      <c r="E71" s="279"/>
      <c r="F71" s="279"/>
    </row>
    <row r="72" spans="2:6">
      <c r="B72" s="278"/>
      <c r="C72" s="278"/>
      <c r="D72" s="278"/>
      <c r="E72" s="279"/>
      <c r="F72" s="279"/>
    </row>
    <row r="73" spans="2:6">
      <c r="B73" s="278"/>
      <c r="C73" s="278"/>
      <c r="D73" s="278"/>
      <c r="E73" s="279"/>
      <c r="F73" s="279"/>
    </row>
    <row r="74" spans="2:6">
      <c r="B74" s="278"/>
      <c r="C74" s="278"/>
      <c r="D74" s="278"/>
      <c r="E74" s="279"/>
      <c r="F74" s="279"/>
    </row>
    <row r="75" spans="2:6">
      <c r="B75" s="278"/>
      <c r="C75" s="278"/>
      <c r="D75" s="278"/>
      <c r="E75" s="279"/>
      <c r="F75" s="279"/>
    </row>
    <row r="76" spans="2:6">
      <c r="B76" s="278"/>
      <c r="C76" s="278"/>
      <c r="D76" s="278"/>
      <c r="E76" s="279"/>
      <c r="F76" s="279"/>
    </row>
    <row r="77" spans="2:6">
      <c r="B77" s="278"/>
      <c r="C77" s="278"/>
      <c r="D77" s="278"/>
      <c r="E77" s="279"/>
      <c r="F77" s="279"/>
    </row>
    <row r="78" spans="2:6">
      <c r="B78" s="278"/>
      <c r="C78" s="278"/>
      <c r="D78" s="278"/>
      <c r="E78" s="279"/>
      <c r="F78" s="279"/>
    </row>
    <row r="79" spans="2:6">
      <c r="B79" s="278"/>
      <c r="C79" s="278"/>
      <c r="D79" s="278"/>
      <c r="E79" s="279"/>
      <c r="F79" s="279"/>
    </row>
    <row r="80" spans="2:6">
      <c r="B80" s="278"/>
      <c r="C80" s="278"/>
      <c r="D80" s="278"/>
      <c r="E80" s="279"/>
      <c r="F80" s="279"/>
    </row>
    <row r="81" spans="2:6">
      <c r="B81" s="278"/>
      <c r="C81" s="278"/>
      <c r="D81" s="278"/>
      <c r="E81" s="279"/>
      <c r="F81" s="279"/>
    </row>
    <row r="82" spans="2:6">
      <c r="B82" s="278"/>
      <c r="C82" s="278"/>
      <c r="D82" s="278"/>
      <c r="E82" s="279"/>
      <c r="F82" s="279"/>
    </row>
    <row r="83" spans="2:6">
      <c r="B83" s="278"/>
      <c r="C83" s="278"/>
      <c r="D83" s="278"/>
      <c r="E83" s="279"/>
      <c r="F83" s="279"/>
    </row>
    <row r="84" spans="2:6">
      <c r="B84" s="278"/>
      <c r="C84" s="278"/>
      <c r="D84" s="278"/>
      <c r="E84" s="279"/>
      <c r="F84" s="279"/>
    </row>
    <row r="85" spans="2:6">
      <c r="B85" s="278"/>
      <c r="C85" s="278"/>
      <c r="D85" s="278"/>
      <c r="E85" s="279"/>
      <c r="F85" s="279"/>
    </row>
    <row r="86" spans="2:6">
      <c r="B86" s="278"/>
      <c r="C86" s="278"/>
      <c r="D86" s="278"/>
      <c r="E86" s="279"/>
      <c r="F86" s="279"/>
    </row>
    <row r="87" spans="2:6">
      <c r="B87" s="278"/>
      <c r="C87" s="278"/>
      <c r="D87" s="278"/>
      <c r="E87" s="279"/>
      <c r="F87" s="279"/>
    </row>
    <row r="88" spans="2:6">
      <c r="B88" s="278"/>
      <c r="C88" s="278"/>
      <c r="D88" s="278"/>
      <c r="E88" s="279"/>
      <c r="F88" s="279"/>
    </row>
    <row r="89" spans="2:6">
      <c r="B89" s="278"/>
      <c r="C89" s="278"/>
      <c r="D89" s="278"/>
      <c r="E89" s="279"/>
      <c r="F89" s="279"/>
    </row>
    <row r="90" spans="2:6">
      <c r="B90" s="278"/>
      <c r="C90" s="278"/>
      <c r="D90" s="278"/>
      <c r="E90" s="279"/>
      <c r="F90" s="279"/>
    </row>
    <row r="91" spans="2:6">
      <c r="B91" s="278"/>
      <c r="C91" s="278"/>
      <c r="D91" s="278"/>
      <c r="E91" s="279"/>
      <c r="F91" s="279"/>
    </row>
    <row r="92" spans="2:6">
      <c r="B92" s="278"/>
      <c r="C92" s="278"/>
      <c r="D92" s="278"/>
      <c r="E92" s="279"/>
      <c r="F92" s="279"/>
    </row>
    <row r="93" spans="2:6">
      <c r="B93" s="278"/>
      <c r="C93" s="278"/>
      <c r="D93" s="278"/>
      <c r="E93" s="279"/>
      <c r="F93" s="279"/>
    </row>
    <row r="94" spans="2:6">
      <c r="B94" s="278"/>
      <c r="C94" s="278"/>
      <c r="D94" s="278"/>
      <c r="E94" s="279"/>
      <c r="F94" s="279"/>
    </row>
    <row r="95" spans="2:6">
      <c r="B95" s="278"/>
      <c r="C95" s="278"/>
      <c r="D95" s="278"/>
      <c r="E95" s="279"/>
      <c r="F95" s="279"/>
    </row>
    <row r="96" spans="2:6">
      <c r="B96" s="278"/>
      <c r="C96" s="278"/>
      <c r="D96" s="278"/>
      <c r="E96" s="279"/>
      <c r="F96" s="279"/>
    </row>
    <row r="97" spans="2:6">
      <c r="B97" s="278"/>
      <c r="C97" s="278"/>
      <c r="D97" s="278"/>
      <c r="E97" s="279"/>
      <c r="F97" s="279"/>
    </row>
    <row r="98" spans="2:6">
      <c r="B98" s="278"/>
      <c r="C98" s="278"/>
      <c r="D98" s="278"/>
      <c r="E98" s="279"/>
      <c r="F98" s="279"/>
    </row>
    <row r="99" spans="2:6">
      <c r="B99" s="278"/>
      <c r="C99" s="278"/>
      <c r="D99" s="278"/>
      <c r="E99" s="279"/>
      <c r="F99" s="279"/>
    </row>
    <row r="100" spans="2:6">
      <c r="B100" s="278"/>
      <c r="C100" s="278"/>
      <c r="D100" s="278"/>
      <c r="E100" s="279"/>
      <c r="F100" s="279"/>
    </row>
  </sheetData>
  <sheetProtection password="9399" sheet="1" objects="1" scenarios="1"/>
  <customSheetViews>
    <customSheetView guid="{504CC784-4394-4648-B9CE-DFC32001696E}" showGridLines="0" fitToPage="1" showRuler="0">
      <pane ySplit="3" topLeftCell="A4" activePane="bottomLeft" state="frozen"/>
      <selection pane="bottomLeft" activeCell="B4" sqref="B4"/>
      <pageMargins left="0" right="0" top="0" bottom="0" header="0" footer="0"/>
      <pageSetup scale="75" orientation="portrait" r:id="rId1"/>
      <headerFooter alignWithMargins="0"/>
    </customSheetView>
  </customSheetViews>
  <mergeCells count="6">
    <mergeCell ref="F61:F62"/>
    <mergeCell ref="A1:E1"/>
    <mergeCell ref="A2:E2"/>
    <mergeCell ref="A3:E3"/>
    <mergeCell ref="A6:B6"/>
    <mergeCell ref="F46:F47"/>
  </mergeCells>
  <phoneticPr fontId="22" type="noConversion"/>
  <pageMargins left="0.75" right="0.75" top="1" bottom="1" header="0.5" footer="0.5"/>
  <pageSetup scale="75"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809625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1</xdr:col>
                    <xdr:colOff>809625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D4795-2E38-4641-A2E5-064C23749361}">
  <sheetPr codeName="Sheet9">
    <pageSetUpPr fitToPage="1"/>
  </sheetPr>
  <dimension ref="A1:F84"/>
  <sheetViews>
    <sheetView showGridLines="0" zoomScaleNormal="100" workbookViewId="0">
      <pane xSplit="1" ySplit="6" topLeftCell="B7" activePane="bottomRight" state="frozen"/>
      <selection pane="bottomRight" activeCell="E20" sqref="E20"/>
      <selection pane="bottomLeft" activeCell="G2" sqref="G2"/>
      <selection pane="topRight" activeCell="G2" sqref="G2"/>
    </sheetView>
  </sheetViews>
  <sheetFormatPr defaultColWidth="9.28515625" defaultRowHeight="12.75"/>
  <cols>
    <col min="1" max="1" width="3.7109375" style="146" customWidth="1"/>
    <col min="2" max="2" width="36.7109375" style="146" customWidth="1"/>
    <col min="3" max="3" width="20.7109375" style="147" customWidth="1"/>
    <col min="4" max="4" width="17.7109375" style="146" customWidth="1"/>
    <col min="5" max="5" width="10.42578125" style="146" customWidth="1"/>
    <col min="6" max="6" width="18.42578125" style="147" customWidth="1"/>
  </cols>
  <sheetData>
    <row r="1" spans="1:6" s="11" customFormat="1" ht="15">
      <c r="B1" s="877" t="str">
        <f>+'trial balance'!A1</f>
        <v>NAME OF THE TRADING PARTICIPANT</v>
      </c>
      <c r="C1" s="878"/>
      <c r="D1" s="878"/>
      <c r="E1" s="878"/>
      <c r="F1" s="878"/>
    </row>
    <row r="2" spans="1:6" s="11" customFormat="1" ht="14.25">
      <c r="B2" s="875" t="s">
        <v>620</v>
      </c>
      <c r="C2" s="875"/>
      <c r="D2" s="875"/>
      <c r="E2" s="875"/>
      <c r="F2" s="875"/>
    </row>
    <row r="3" spans="1:6" s="11" customFormat="1" ht="15">
      <c r="B3" s="882" t="str">
        <f>+'trial balance'!A3</f>
        <v>mm/dd/yyyy</v>
      </c>
      <c r="C3" s="882"/>
      <c r="D3" s="882"/>
      <c r="E3" s="882"/>
      <c r="F3" s="882"/>
    </row>
    <row r="4" spans="1:6">
      <c r="A4"/>
      <c r="B4" s="1"/>
      <c r="C4" s="178"/>
      <c r="D4"/>
      <c r="E4"/>
      <c r="F4" s="178"/>
    </row>
    <row r="5" spans="1:6">
      <c r="A5"/>
      <c r="B5"/>
      <c r="C5" s="178"/>
      <c r="D5"/>
      <c r="E5"/>
      <c r="F5" s="178"/>
    </row>
    <row r="6" spans="1:6" s="4" customFormat="1" ht="13.5" thickBot="1">
      <c r="A6" s="488"/>
      <c r="B6" s="13" t="s">
        <v>621</v>
      </c>
      <c r="C6" s="180" t="s">
        <v>622</v>
      </c>
      <c r="D6" s="13" t="s">
        <v>133</v>
      </c>
      <c r="E6" s="13" t="s">
        <v>623</v>
      </c>
      <c r="F6" s="180" t="s">
        <v>624</v>
      </c>
    </row>
    <row r="7" spans="1:6">
      <c r="A7"/>
      <c r="B7"/>
      <c r="C7" s="178"/>
      <c r="D7"/>
      <c r="E7"/>
      <c r="F7" s="178"/>
    </row>
    <row r="8" spans="1:6">
      <c r="A8"/>
      <c r="B8" s="1" t="s">
        <v>625</v>
      </c>
      <c r="C8" s="178"/>
      <c r="D8"/>
      <c r="E8"/>
      <c r="F8" s="178"/>
    </row>
    <row r="9" spans="1:6">
      <c r="A9">
        <v>1</v>
      </c>
      <c r="B9" s="278"/>
      <c r="C9" s="279"/>
      <c r="D9" s="626"/>
      <c r="E9" s="631"/>
      <c r="F9" s="279"/>
    </row>
    <row r="10" spans="1:6">
      <c r="A10">
        <v>2</v>
      </c>
      <c r="B10" s="280"/>
      <c r="C10" s="281"/>
      <c r="D10" s="627"/>
      <c r="E10" s="632"/>
      <c r="F10" s="281"/>
    </row>
    <row r="11" spans="1:6">
      <c r="A11">
        <v>3</v>
      </c>
      <c r="B11" s="280"/>
      <c r="C11" s="281"/>
      <c r="D11" s="627"/>
      <c r="E11" s="632"/>
      <c r="F11" s="281"/>
    </row>
    <row r="12" spans="1:6">
      <c r="A12">
        <v>4</v>
      </c>
      <c r="B12" s="280"/>
      <c r="C12" s="281"/>
      <c r="D12" s="627"/>
      <c r="E12" s="632"/>
      <c r="F12" s="281"/>
    </row>
    <row r="13" spans="1:6">
      <c r="A13">
        <v>5</v>
      </c>
      <c r="B13" s="280"/>
      <c r="C13" s="281"/>
      <c r="D13" s="627"/>
      <c r="E13" s="632"/>
      <c r="F13" s="281"/>
    </row>
    <row r="14" spans="1:6">
      <c r="A14">
        <v>6</v>
      </c>
      <c r="B14" s="280"/>
      <c r="C14" s="281"/>
      <c r="D14" s="627"/>
      <c r="E14" s="632"/>
      <c r="F14" s="281"/>
    </row>
    <row r="15" spans="1:6">
      <c r="A15">
        <v>7</v>
      </c>
      <c r="B15" s="280"/>
      <c r="C15" s="281"/>
      <c r="D15" s="627"/>
      <c r="E15" s="632"/>
      <c r="F15" s="281"/>
    </row>
    <row r="16" spans="1:6">
      <c r="A16">
        <v>8</v>
      </c>
      <c r="B16" s="280"/>
      <c r="C16" s="281"/>
      <c r="D16" s="627"/>
      <c r="E16" s="632"/>
      <c r="F16" s="281"/>
    </row>
    <row r="17" spans="1:6">
      <c r="A17">
        <v>9</v>
      </c>
      <c r="B17" s="280"/>
      <c r="C17" s="281"/>
      <c r="D17" s="627"/>
      <c r="E17" s="632"/>
      <c r="F17" s="281"/>
    </row>
    <row r="18" spans="1:6">
      <c r="A18">
        <v>10</v>
      </c>
      <c r="B18" s="280"/>
      <c r="C18" s="281"/>
      <c r="D18" s="627"/>
      <c r="E18" s="632"/>
      <c r="F18" s="281"/>
    </row>
    <row r="19" spans="1:6">
      <c r="A19">
        <v>11</v>
      </c>
      <c r="B19" s="280"/>
      <c r="C19" s="281"/>
      <c r="D19" s="627"/>
      <c r="E19" s="632"/>
      <c r="F19" s="281"/>
    </row>
    <row r="20" spans="1:6">
      <c r="A20">
        <v>12</v>
      </c>
      <c r="B20" s="280"/>
      <c r="C20" s="281"/>
      <c r="D20" s="627"/>
      <c r="E20" s="632"/>
      <c r="F20" s="281"/>
    </row>
    <row r="21" spans="1:6">
      <c r="A21">
        <v>13</v>
      </c>
      <c r="B21" s="280"/>
      <c r="C21" s="281"/>
      <c r="D21" s="627"/>
      <c r="E21" s="632"/>
      <c r="F21" s="281"/>
    </row>
    <row r="22" spans="1:6">
      <c r="A22">
        <v>14</v>
      </c>
      <c r="B22" s="280"/>
      <c r="C22" s="281"/>
      <c r="D22" s="627"/>
      <c r="E22" s="632"/>
      <c r="F22" s="281"/>
    </row>
    <row r="23" spans="1:6">
      <c r="A23">
        <v>15</v>
      </c>
      <c r="B23" s="728" t="s">
        <v>626</v>
      </c>
      <c r="C23" s="283"/>
      <c r="D23" s="729" t="s">
        <v>137</v>
      </c>
      <c r="E23" s="729" t="s">
        <v>137</v>
      </c>
      <c r="F23" s="283"/>
    </row>
    <row r="24" spans="1:6">
      <c r="A24"/>
      <c r="B24"/>
      <c r="C24" s="237"/>
      <c r="D24" s="609"/>
      <c r="E24" s="236"/>
      <c r="F24" s="237"/>
    </row>
    <row r="25" spans="1:6">
      <c r="A25"/>
      <c r="B25" s="238" t="s">
        <v>114</v>
      </c>
      <c r="C25" s="239">
        <f>SUM(C9:C23)</f>
        <v>0</v>
      </c>
      <c r="D25" s="628"/>
      <c r="E25" s="2"/>
      <c r="F25" s="239">
        <f>SUM(F9:F23)</f>
        <v>0</v>
      </c>
    </row>
    <row r="26" spans="1:6">
      <c r="A26"/>
      <c r="B26"/>
      <c r="C26" s="178"/>
      <c r="D26" s="609"/>
      <c r="E26"/>
      <c r="F26" s="178"/>
    </row>
    <row r="27" spans="1:6">
      <c r="A27"/>
      <c r="B27"/>
      <c r="C27" s="178"/>
      <c r="D27" s="609"/>
      <c r="E27"/>
      <c r="F27" s="178"/>
    </row>
    <row r="28" spans="1:6">
      <c r="A28"/>
      <c r="B28" s="1" t="s">
        <v>627</v>
      </c>
      <c r="C28" s="178"/>
      <c r="D28" s="609"/>
      <c r="E28"/>
      <c r="F28" s="178"/>
    </row>
    <row r="29" spans="1:6">
      <c r="A29"/>
      <c r="B29"/>
      <c r="C29" s="178"/>
      <c r="D29" s="609"/>
      <c r="E29"/>
      <c r="F29" s="178"/>
    </row>
    <row r="30" spans="1:6">
      <c r="A30">
        <v>1</v>
      </c>
      <c r="B30" s="278"/>
      <c r="C30" s="279"/>
      <c r="D30" s="626"/>
      <c r="E30" s="629"/>
      <c r="F30" s="279"/>
    </row>
    <row r="31" spans="1:6">
      <c r="A31">
        <v>2</v>
      </c>
      <c r="B31" s="280"/>
      <c r="C31" s="281"/>
      <c r="D31" s="627"/>
      <c r="E31" s="630"/>
      <c r="F31" s="281"/>
    </row>
    <row r="32" spans="1:6">
      <c r="A32">
        <v>3</v>
      </c>
      <c r="B32" s="280"/>
      <c r="C32" s="281"/>
      <c r="D32" s="627"/>
      <c r="E32" s="630"/>
      <c r="F32" s="281"/>
    </row>
    <row r="33" spans="1:6">
      <c r="A33">
        <v>4</v>
      </c>
      <c r="B33" s="280"/>
      <c r="C33" s="281"/>
      <c r="D33" s="627"/>
      <c r="E33" s="630"/>
      <c r="F33" s="281"/>
    </row>
    <row r="34" spans="1:6">
      <c r="A34">
        <v>5</v>
      </c>
      <c r="B34" s="280"/>
      <c r="C34" s="281"/>
      <c r="D34" s="627"/>
      <c r="E34" s="630"/>
      <c r="F34" s="281"/>
    </row>
    <row r="35" spans="1:6">
      <c r="A35">
        <v>6</v>
      </c>
      <c r="B35" s="728" t="s">
        <v>626</v>
      </c>
      <c r="C35" s="283"/>
      <c r="D35" s="729" t="s">
        <v>137</v>
      </c>
      <c r="E35" s="729" t="s">
        <v>137</v>
      </c>
      <c r="F35" s="283"/>
    </row>
    <row r="36" spans="1:6">
      <c r="A36"/>
      <c r="B36" s="238" t="s">
        <v>114</v>
      </c>
      <c r="C36" s="233">
        <f>SUM(C30:C35)</f>
        <v>0</v>
      </c>
      <c r="D36"/>
      <c r="E36"/>
      <c r="F36" s="233">
        <f>SUM(F30:F35)</f>
        <v>0</v>
      </c>
    </row>
    <row r="37" spans="1:6">
      <c r="A37"/>
      <c r="B37"/>
      <c r="C37" s="178"/>
      <c r="D37"/>
      <c r="E37"/>
      <c r="F37" s="178"/>
    </row>
    <row r="38" spans="1:6">
      <c r="A38"/>
      <c r="B38" s="1" t="s">
        <v>628</v>
      </c>
      <c r="C38" s="178"/>
      <c r="D38" s="609"/>
      <c r="E38"/>
      <c r="F38" s="178"/>
    </row>
    <row r="39" spans="1:6">
      <c r="A39"/>
      <c r="B39"/>
      <c r="C39" s="178"/>
      <c r="D39" s="609"/>
      <c r="E39"/>
      <c r="F39" s="178"/>
    </row>
    <row r="40" spans="1:6">
      <c r="A40">
        <v>1</v>
      </c>
      <c r="B40" s="278"/>
      <c r="C40" s="279"/>
      <c r="D40" s="626"/>
      <c r="E40" s="629"/>
      <c r="F40" s="279"/>
    </row>
    <row r="41" spans="1:6">
      <c r="A41">
        <v>2</v>
      </c>
      <c r="B41" s="280"/>
      <c r="C41" s="281"/>
      <c r="D41" s="627"/>
      <c r="E41" s="630"/>
      <c r="F41" s="281"/>
    </row>
    <row r="42" spans="1:6">
      <c r="A42">
        <v>3</v>
      </c>
      <c r="B42" s="280"/>
      <c r="C42" s="281"/>
      <c r="D42" s="627"/>
      <c r="E42" s="630"/>
      <c r="F42" s="281"/>
    </row>
    <row r="43" spans="1:6">
      <c r="A43">
        <v>4</v>
      </c>
      <c r="B43" s="280"/>
      <c r="C43" s="281"/>
      <c r="D43" s="627"/>
      <c r="E43" s="630"/>
      <c r="F43" s="281"/>
    </row>
    <row r="44" spans="1:6">
      <c r="A44">
        <v>5</v>
      </c>
      <c r="B44" s="280"/>
      <c r="C44" s="281"/>
      <c r="D44" s="627"/>
      <c r="E44" s="630"/>
      <c r="F44" s="281"/>
    </row>
    <row r="45" spans="1:6">
      <c r="A45">
        <v>6</v>
      </c>
      <c r="B45" s="728" t="s">
        <v>626</v>
      </c>
      <c r="C45" s="283"/>
      <c r="D45" s="729" t="s">
        <v>137</v>
      </c>
      <c r="E45" s="729" t="s">
        <v>137</v>
      </c>
      <c r="F45" s="283"/>
    </row>
    <row r="46" spans="1:6">
      <c r="A46"/>
      <c r="B46" s="238" t="s">
        <v>114</v>
      </c>
      <c r="C46" s="233">
        <f>SUM(C40:C45)</f>
        <v>0</v>
      </c>
      <c r="D46"/>
      <c r="E46"/>
      <c r="F46" s="233">
        <f>SUM(F40:F45)</f>
        <v>0</v>
      </c>
    </row>
    <row r="47" spans="1:6">
      <c r="A47"/>
      <c r="B47"/>
      <c r="C47" s="178"/>
      <c r="D47"/>
      <c r="E47"/>
      <c r="F47" s="178"/>
    </row>
    <row r="48" spans="1:6">
      <c r="A48"/>
      <c r="B48" s="1" t="s">
        <v>629</v>
      </c>
      <c r="C48" s="178"/>
      <c r="D48" s="609"/>
      <c r="E48"/>
      <c r="F48" s="178"/>
    </row>
    <row r="49" spans="1:6">
      <c r="A49"/>
      <c r="B49"/>
      <c r="C49" s="178"/>
      <c r="D49" s="609"/>
      <c r="E49"/>
      <c r="F49" s="178"/>
    </row>
    <row r="50" spans="1:6">
      <c r="A50">
        <v>1</v>
      </c>
      <c r="B50" s="278"/>
      <c r="C50" s="279"/>
      <c r="D50" s="626"/>
      <c r="E50" s="629"/>
      <c r="F50" s="279"/>
    </row>
    <row r="51" spans="1:6">
      <c r="A51">
        <v>2</v>
      </c>
      <c r="B51" s="280"/>
      <c r="C51" s="281"/>
      <c r="D51" s="627"/>
      <c r="E51" s="630"/>
      <c r="F51" s="281"/>
    </row>
    <row r="52" spans="1:6">
      <c r="A52">
        <v>3</v>
      </c>
      <c r="B52" s="280"/>
      <c r="C52" s="281"/>
      <c r="D52" s="627"/>
      <c r="E52" s="630"/>
      <c r="F52" s="281"/>
    </row>
    <row r="53" spans="1:6">
      <c r="A53">
        <v>4</v>
      </c>
      <c r="B53" s="280"/>
      <c r="C53" s="281"/>
      <c r="D53" s="627"/>
      <c r="E53" s="630"/>
      <c r="F53" s="281"/>
    </row>
    <row r="54" spans="1:6">
      <c r="A54">
        <v>5</v>
      </c>
      <c r="B54" s="280"/>
      <c r="C54" s="281"/>
      <c r="D54" s="627"/>
      <c r="E54" s="630"/>
      <c r="F54" s="281"/>
    </row>
    <row r="55" spans="1:6">
      <c r="A55">
        <v>6</v>
      </c>
      <c r="B55" s="728" t="s">
        <v>626</v>
      </c>
      <c r="C55" s="283"/>
      <c r="D55" s="729" t="s">
        <v>137</v>
      </c>
      <c r="E55" s="729" t="s">
        <v>137</v>
      </c>
      <c r="F55" s="283"/>
    </row>
    <row r="56" spans="1:6">
      <c r="A56"/>
      <c r="B56" s="238" t="s">
        <v>114</v>
      </c>
      <c r="C56" s="233">
        <f>SUM(C50:C55)</f>
        <v>0</v>
      </c>
      <c r="D56"/>
      <c r="E56"/>
      <c r="F56" s="233">
        <f>SUM(F50:F55)</f>
        <v>0</v>
      </c>
    </row>
    <row r="57" spans="1:6">
      <c r="A57"/>
      <c r="B57" s="238"/>
      <c r="C57" s="237"/>
      <c r="D57"/>
      <c r="E57"/>
      <c r="F57" s="237"/>
    </row>
    <row r="58" spans="1:6">
      <c r="A58"/>
      <c r="B58" s="1" t="s">
        <v>630</v>
      </c>
      <c r="C58" s="178"/>
      <c r="D58" s="609"/>
      <c r="E58"/>
      <c r="F58" s="178"/>
    </row>
    <row r="59" spans="1:6">
      <c r="A59"/>
      <c r="B59"/>
      <c r="C59" s="178"/>
      <c r="D59" s="609"/>
      <c r="E59"/>
      <c r="F59" s="178"/>
    </row>
    <row r="60" spans="1:6">
      <c r="A60">
        <v>1</v>
      </c>
      <c r="B60" s="278"/>
      <c r="C60" s="279"/>
      <c r="D60" s="626"/>
      <c r="E60" s="629"/>
      <c r="F60" s="279"/>
    </row>
    <row r="61" spans="1:6">
      <c r="A61">
        <v>2</v>
      </c>
      <c r="B61" s="280"/>
      <c r="C61" s="281"/>
      <c r="D61" s="627"/>
      <c r="E61" s="630"/>
      <c r="F61" s="281"/>
    </row>
    <row r="62" spans="1:6">
      <c r="A62">
        <v>3</v>
      </c>
      <c r="B62" s="280"/>
      <c r="C62" s="281"/>
      <c r="D62" s="627"/>
      <c r="E62" s="630"/>
      <c r="F62" s="281"/>
    </row>
    <row r="63" spans="1:6">
      <c r="A63">
        <v>4</v>
      </c>
      <c r="B63" s="280"/>
      <c r="C63" s="281"/>
      <c r="D63" s="627"/>
      <c r="E63" s="630"/>
      <c r="F63" s="281"/>
    </row>
    <row r="64" spans="1:6">
      <c r="A64">
        <v>5</v>
      </c>
      <c r="B64" s="280"/>
      <c r="C64" s="281"/>
      <c r="D64" s="627"/>
      <c r="E64" s="630"/>
      <c r="F64" s="281"/>
    </row>
    <row r="65" spans="1:6">
      <c r="A65">
        <v>6</v>
      </c>
      <c r="B65" s="728" t="s">
        <v>626</v>
      </c>
      <c r="C65" s="283"/>
      <c r="D65" s="729" t="s">
        <v>137</v>
      </c>
      <c r="E65" s="729" t="s">
        <v>137</v>
      </c>
      <c r="F65" s="283"/>
    </row>
    <row r="66" spans="1:6">
      <c r="A66"/>
      <c r="B66" s="238" t="s">
        <v>114</v>
      </c>
      <c r="C66" s="233">
        <f>SUM(C60:C65)</f>
        <v>0</v>
      </c>
      <c r="D66"/>
      <c r="E66"/>
      <c r="F66" s="233">
        <f>SUM(F60:F65)</f>
        <v>0</v>
      </c>
    </row>
    <row r="67" spans="1:6">
      <c r="A67"/>
      <c r="B67" s="238"/>
      <c r="C67" s="237"/>
      <c r="D67"/>
      <c r="E67"/>
      <c r="F67" s="237"/>
    </row>
    <row r="68" spans="1:6">
      <c r="A68"/>
      <c r="B68" s="1" t="s">
        <v>631</v>
      </c>
      <c r="C68" s="178"/>
      <c r="D68" s="609"/>
      <c r="E68"/>
      <c r="F68" s="178"/>
    </row>
    <row r="69" spans="1:6">
      <c r="A69"/>
      <c r="B69"/>
      <c r="C69" s="178"/>
      <c r="D69" s="609"/>
      <c r="E69"/>
      <c r="F69" s="178"/>
    </row>
    <row r="70" spans="1:6">
      <c r="A70">
        <v>1</v>
      </c>
      <c r="B70" s="278"/>
      <c r="C70" s="279"/>
      <c r="D70" s="626"/>
      <c r="E70" s="629"/>
      <c r="F70" s="279"/>
    </row>
    <row r="71" spans="1:6">
      <c r="A71">
        <v>2</v>
      </c>
      <c r="B71" s="280"/>
      <c r="C71" s="281"/>
      <c r="D71" s="627"/>
      <c r="E71" s="630"/>
      <c r="F71" s="281"/>
    </row>
    <row r="72" spans="1:6">
      <c r="A72">
        <v>3</v>
      </c>
      <c r="B72" s="280"/>
      <c r="C72" s="281"/>
      <c r="D72" s="627"/>
      <c r="E72" s="630"/>
      <c r="F72" s="281"/>
    </row>
    <row r="73" spans="1:6">
      <c r="A73">
        <v>4</v>
      </c>
      <c r="B73" s="280"/>
      <c r="C73" s="281"/>
      <c r="D73" s="627"/>
      <c r="E73" s="630"/>
      <c r="F73" s="281"/>
    </row>
    <row r="74" spans="1:6">
      <c r="A74">
        <v>5</v>
      </c>
      <c r="B74" s="280"/>
      <c r="C74" s="281"/>
      <c r="D74" s="627"/>
      <c r="E74" s="630"/>
      <c r="F74" s="281"/>
    </row>
    <row r="75" spans="1:6">
      <c r="A75">
        <v>6</v>
      </c>
      <c r="B75" s="728" t="s">
        <v>626</v>
      </c>
      <c r="C75" s="283"/>
      <c r="D75" s="729" t="s">
        <v>137</v>
      </c>
      <c r="E75" s="729" t="s">
        <v>137</v>
      </c>
      <c r="F75" s="283"/>
    </row>
    <row r="76" spans="1:6">
      <c r="A76"/>
      <c r="B76" s="238" t="s">
        <v>114</v>
      </c>
      <c r="C76" s="233">
        <f>SUM(C70:C75)</f>
        <v>0</v>
      </c>
      <c r="D76" s="609"/>
      <c r="E76"/>
      <c r="F76" s="233">
        <f>SUM(F70:F75)</f>
        <v>0</v>
      </c>
    </row>
    <row r="77" spans="1:6">
      <c r="A77"/>
      <c r="B77"/>
      <c r="C77" s="178"/>
      <c r="D77" s="609"/>
      <c r="E77"/>
      <c r="F77" s="178"/>
    </row>
    <row r="78" spans="1:6" ht="13.5" thickBot="1">
      <c r="A78"/>
      <c r="B78" s="2" t="s">
        <v>369</v>
      </c>
      <c r="C78" s="240">
        <f>+C25+C36+C46+C56+C66+C76</f>
        <v>0</v>
      </c>
      <c r="D78" s="1"/>
      <c r="E78" s="1"/>
      <c r="F78" s="240">
        <f>+F25+F36+F46+F56+F66+F76</f>
        <v>0</v>
      </c>
    </row>
    <row r="79" spans="1:6" ht="13.5" thickTop="1">
      <c r="A79"/>
      <c r="B79"/>
      <c r="C79" s="178"/>
      <c r="D79"/>
      <c r="E79"/>
      <c r="F79" s="178"/>
    </row>
    <row r="80" spans="1:6">
      <c r="A80"/>
      <c r="B80"/>
      <c r="C80" s="178"/>
      <c r="D80"/>
      <c r="E80"/>
      <c r="F80" s="178"/>
    </row>
    <row r="81" spans="1:6">
      <c r="A81"/>
      <c r="B81" s="79" t="s">
        <v>632</v>
      </c>
      <c r="C81" s="178"/>
      <c r="D81"/>
      <c r="E81"/>
      <c r="F81" s="178"/>
    </row>
    <row r="82" spans="1:6">
      <c r="A82"/>
      <c r="B82"/>
      <c r="C82" s="178"/>
      <c r="D82"/>
      <c r="E82"/>
      <c r="F82" s="178"/>
    </row>
    <row r="83" spans="1:6">
      <c r="A83"/>
      <c r="B83"/>
      <c r="C83" s="178"/>
      <c r="D83"/>
      <c r="E83"/>
      <c r="F83" s="178"/>
    </row>
    <row r="84" spans="1:6">
      <c r="A84"/>
      <c r="B84"/>
      <c r="C84" s="178"/>
      <c r="D84"/>
      <c r="E84"/>
      <c r="F84" s="178"/>
    </row>
  </sheetData>
  <sheetProtection password="9399" sheet="1" objects="1" scenarios="1"/>
  <customSheetViews>
    <customSheetView guid="{504CC784-4394-4648-B9CE-DFC32001696E}" showGridLines="0" fitToPage="1" showRuler="0">
      <pane xSplit="1" ySplit="4" topLeftCell="B5" activePane="bottomRight" state="frozen"/>
      <selection pane="bottomRight" activeCell="C28" sqref="C28"/>
      <pageMargins left="0" right="0" top="0" bottom="0" header="0" footer="0"/>
      <pageSetup scale="84" orientation="portrait" r:id="rId1"/>
      <headerFooter alignWithMargins="0"/>
    </customSheetView>
  </customSheetViews>
  <mergeCells count="3">
    <mergeCell ref="B1:F1"/>
    <mergeCell ref="B2:F2"/>
    <mergeCell ref="B3:F3"/>
  </mergeCells>
  <phoneticPr fontId="22" type="noConversion"/>
  <pageMargins left="0.75" right="0.75" top="1" bottom="1" header="0.5" footer="0.5"/>
  <pageSetup scale="63"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895350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1</xdr:col>
                    <xdr:colOff>895350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FBD2-FBB0-46BC-917A-756A0D1A6DB4}">
  <sheetPr>
    <pageSetUpPr fitToPage="1"/>
  </sheetPr>
  <dimension ref="A1:K48"/>
  <sheetViews>
    <sheetView showGridLines="0" zoomScaleNormal="100" workbookViewId="0">
      <pane xSplit="2" ySplit="6" topLeftCell="C7" activePane="bottomRight" state="frozen"/>
      <selection pane="bottomRight" activeCell="P6" sqref="P6"/>
      <selection pane="bottomLeft" activeCell="A7" sqref="A7"/>
      <selection pane="topRight" activeCell="A7" sqref="A7"/>
    </sheetView>
  </sheetViews>
  <sheetFormatPr defaultRowHeight="12.75"/>
  <cols>
    <col min="1" max="1" width="39.28515625" bestFit="1" customWidth="1"/>
    <col min="2" max="2" width="2.7109375" customWidth="1"/>
    <col min="3" max="3" width="12.7109375" customWidth="1"/>
    <col min="4" max="4" width="12.28515625" bestFit="1" customWidth="1"/>
    <col min="5" max="5" width="14.42578125" customWidth="1"/>
    <col min="6" max="6" width="12" customWidth="1"/>
    <col min="7" max="7" width="12.28515625" bestFit="1" customWidth="1"/>
    <col min="8" max="8" width="14.7109375" customWidth="1"/>
    <col min="9" max="10" width="12.7109375" customWidth="1"/>
  </cols>
  <sheetData>
    <row r="1" spans="1:11">
      <c r="A1" s="264" t="str">
        <f>'trial balance'!A1</f>
        <v>NAME OF THE TRADING PARTICIPANT</v>
      </c>
      <c r="B1" s="124"/>
      <c r="C1" s="124"/>
      <c r="D1" s="124"/>
      <c r="E1" s="124"/>
      <c r="F1" s="124"/>
      <c r="G1" s="124"/>
      <c r="H1" s="124"/>
      <c r="I1" s="124"/>
      <c r="J1" s="124"/>
      <c r="K1" s="488"/>
    </row>
    <row r="2" spans="1:11">
      <c r="A2" s="156" t="s">
        <v>633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1" ht="15">
      <c r="A3" s="462" t="str">
        <f>RBC!A3</f>
        <v>mm/dd/yyyy</v>
      </c>
      <c r="B3" s="212"/>
      <c r="C3" s="212"/>
      <c r="D3" s="212"/>
      <c r="E3" s="212"/>
      <c r="F3" s="212"/>
      <c r="G3" s="212"/>
      <c r="H3" s="212"/>
      <c r="I3" s="212"/>
      <c r="J3" s="212"/>
      <c r="K3" s="489"/>
    </row>
    <row r="6" spans="1:11" ht="38.25">
      <c r="A6" s="306" t="s">
        <v>634</v>
      </c>
      <c r="B6" s="305"/>
      <c r="C6" s="195" t="s">
        <v>635</v>
      </c>
      <c r="D6" s="211" t="s">
        <v>636</v>
      </c>
      <c r="E6" s="211" t="s">
        <v>637</v>
      </c>
      <c r="F6" s="211" t="s">
        <v>638</v>
      </c>
      <c r="G6" s="211" t="s">
        <v>639</v>
      </c>
      <c r="H6" s="211" t="s">
        <v>640</v>
      </c>
      <c r="I6" s="211" t="s">
        <v>641</v>
      </c>
      <c r="J6" s="211" t="s">
        <v>642</v>
      </c>
      <c r="K6" s="1"/>
    </row>
    <row r="7" spans="1:11">
      <c r="A7" s="763" t="s">
        <v>643</v>
      </c>
      <c r="B7" s="634"/>
      <c r="C7" s="410">
        <f>+C14</f>
        <v>0</v>
      </c>
      <c r="D7" s="410">
        <f>+D14</f>
        <v>0</v>
      </c>
      <c r="E7" s="410">
        <f>+E14</f>
        <v>0</v>
      </c>
      <c r="F7" s="410">
        <f>+F14</f>
        <v>0</v>
      </c>
      <c r="G7" s="410">
        <f>+G14</f>
        <v>0</v>
      </c>
      <c r="H7" s="301"/>
      <c r="I7" s="301"/>
      <c r="J7" s="422"/>
      <c r="K7" s="1"/>
    </row>
    <row r="8" spans="1:11">
      <c r="A8" s="762" t="s">
        <v>644</v>
      </c>
      <c r="B8" s="636"/>
      <c r="C8" s="410">
        <f>+C23</f>
        <v>0</v>
      </c>
      <c r="D8" s="410">
        <f>+D23</f>
        <v>0</v>
      </c>
      <c r="E8" s="410">
        <f>+E23</f>
        <v>0</v>
      </c>
      <c r="F8" s="410">
        <f>+F23</f>
        <v>0</v>
      </c>
      <c r="G8" s="410">
        <f>+G23</f>
        <v>0</v>
      </c>
      <c r="H8" s="300"/>
      <c r="I8" s="300"/>
      <c r="J8" s="423"/>
      <c r="K8" s="1"/>
    </row>
    <row r="9" spans="1:11">
      <c r="A9" s="802" t="s">
        <v>645</v>
      </c>
      <c r="B9" s="745"/>
      <c r="C9" s="410">
        <f>+C32</f>
        <v>0</v>
      </c>
      <c r="D9" s="410">
        <f>+D32</f>
        <v>0</v>
      </c>
      <c r="E9" s="410">
        <f>+E32</f>
        <v>0</v>
      </c>
      <c r="F9" s="410">
        <f>+F32</f>
        <v>0</v>
      </c>
      <c r="G9" s="410">
        <f>+G32</f>
        <v>0</v>
      </c>
      <c r="H9" s="300"/>
      <c r="I9" s="300"/>
      <c r="J9" s="423"/>
      <c r="K9" s="1"/>
    </row>
    <row r="10" spans="1:11">
      <c r="A10" s="803" t="s">
        <v>646</v>
      </c>
      <c r="B10" s="638"/>
      <c r="C10" s="411">
        <f>+C40</f>
        <v>0</v>
      </c>
      <c r="D10" s="411">
        <f>+D40</f>
        <v>0</v>
      </c>
      <c r="E10" s="411">
        <f>+E40</f>
        <v>0</v>
      </c>
      <c r="F10" s="411">
        <f>+F40</f>
        <v>0</v>
      </c>
      <c r="G10" s="411">
        <f>+G40</f>
        <v>0</v>
      </c>
      <c r="H10" s="300"/>
      <c r="I10" s="300"/>
      <c r="J10" s="423"/>
      <c r="K10" s="1"/>
    </row>
    <row r="11" spans="1:11" ht="13.5" thickBot="1">
      <c r="A11" s="303" t="s">
        <v>116</v>
      </c>
      <c r="B11" s="304"/>
      <c r="C11" s="412">
        <f>SUM(C7:C10)</f>
        <v>0</v>
      </c>
      <c r="D11" s="412">
        <f>SUM(D7:D10)</f>
        <v>0</v>
      </c>
      <c r="E11" s="412">
        <f>SUM(E7:E10)</f>
        <v>0</v>
      </c>
      <c r="F11" s="412">
        <f>SUM(F7:F10)</f>
        <v>0</v>
      </c>
      <c r="G11" s="412">
        <f>SUM(G7:G10)</f>
        <v>0</v>
      </c>
      <c r="H11" s="302"/>
      <c r="I11" s="302"/>
      <c r="J11" s="424"/>
      <c r="K11" s="1"/>
    </row>
    <row r="12" spans="1:11" ht="13.5" thickTop="1">
      <c r="C12" s="413"/>
      <c r="D12" s="413"/>
      <c r="E12" s="413"/>
      <c r="F12" s="413"/>
      <c r="G12" s="413"/>
      <c r="H12" s="1"/>
      <c r="I12" s="1"/>
      <c r="J12" s="425"/>
      <c r="K12" s="1"/>
    </row>
    <row r="13" spans="1:11">
      <c r="A13" s="183" t="s">
        <v>643</v>
      </c>
      <c r="C13" s="413"/>
      <c r="D13" s="413"/>
      <c r="E13" s="413"/>
      <c r="F13" s="413"/>
      <c r="G13" s="413"/>
      <c r="H13" s="1"/>
      <c r="I13" s="1"/>
      <c r="J13" s="425"/>
      <c r="K13" s="1"/>
    </row>
    <row r="14" spans="1:11">
      <c r="A14" s="746" t="s">
        <v>643</v>
      </c>
      <c r="B14" s="634"/>
      <c r="C14" s="747">
        <v>0</v>
      </c>
      <c r="D14" s="747">
        <v>0</v>
      </c>
      <c r="E14" s="748">
        <f>C14-D14</f>
        <v>0</v>
      </c>
      <c r="F14" s="747">
        <v>0</v>
      </c>
      <c r="G14" s="748">
        <f>IF((E14-F14)&gt;=0,E14-F14,0)</f>
        <v>0</v>
      </c>
      <c r="H14" s="80">
        <v>0</v>
      </c>
      <c r="I14" s="80">
        <v>0</v>
      </c>
      <c r="J14" s="749">
        <v>0</v>
      </c>
      <c r="K14" s="1"/>
    </row>
    <row r="15" spans="1:11">
      <c r="C15" s="413"/>
      <c r="D15" s="413"/>
      <c r="E15" s="413"/>
      <c r="F15" s="413"/>
      <c r="G15" s="413"/>
      <c r="H15" s="1"/>
      <c r="I15" s="1"/>
      <c r="J15" s="425"/>
      <c r="K15" s="1"/>
    </row>
    <row r="16" spans="1:11">
      <c r="A16" s="183" t="s">
        <v>644</v>
      </c>
      <c r="C16" s="414"/>
      <c r="D16" s="414"/>
      <c r="E16" s="414"/>
      <c r="F16" s="414"/>
      <c r="G16" s="414"/>
      <c r="H16" s="1"/>
      <c r="I16" s="1"/>
      <c r="J16" s="425"/>
      <c r="K16" s="1"/>
    </row>
    <row r="17" spans="1:11">
      <c r="A17" s="633" t="s">
        <v>647</v>
      </c>
      <c r="B17" s="634"/>
      <c r="C17" s="415">
        <v>0</v>
      </c>
      <c r="D17" s="415">
        <v>0</v>
      </c>
      <c r="E17" s="416">
        <f t="shared" ref="E17:E22" si="0">C17-D17</f>
        <v>0</v>
      </c>
      <c r="F17" s="415">
        <v>0</v>
      </c>
      <c r="G17" s="416">
        <f t="shared" ref="G17:G22" si="1">IF((E17-F17)&gt;=0,E17-F17,0)</f>
        <v>0</v>
      </c>
      <c r="H17" s="296">
        <v>1</v>
      </c>
      <c r="I17" s="311">
        <f t="shared" ref="I17:I22" si="2">IF(E17&gt;0,0.08,0)</f>
        <v>0</v>
      </c>
      <c r="J17" s="422">
        <f t="shared" ref="J17:J22" si="3">G17*H17*I17</f>
        <v>0</v>
      </c>
      <c r="K17" s="259"/>
    </row>
    <row r="18" spans="1:11">
      <c r="A18" s="820" t="s">
        <v>648</v>
      </c>
      <c r="B18" s="819"/>
      <c r="C18" s="415">
        <v>0</v>
      </c>
      <c r="D18" s="415">
        <v>0</v>
      </c>
      <c r="E18" s="416">
        <f t="shared" si="0"/>
        <v>0</v>
      </c>
      <c r="F18" s="415">
        <v>0</v>
      </c>
      <c r="G18" s="416">
        <f t="shared" si="1"/>
        <v>0</v>
      </c>
      <c r="H18" s="296">
        <v>1</v>
      </c>
      <c r="I18" s="311">
        <f t="shared" si="2"/>
        <v>0</v>
      </c>
      <c r="J18" s="422">
        <f t="shared" si="3"/>
        <v>0</v>
      </c>
      <c r="K18" s="259"/>
    </row>
    <row r="19" spans="1:11">
      <c r="A19" s="635" t="s">
        <v>649</v>
      </c>
      <c r="B19" s="636"/>
      <c r="C19" s="417">
        <v>0</v>
      </c>
      <c r="D19" s="417">
        <v>0</v>
      </c>
      <c r="E19" s="410">
        <f t="shared" si="0"/>
        <v>0</v>
      </c>
      <c r="F19" s="420">
        <v>0</v>
      </c>
      <c r="G19" s="410">
        <f t="shared" si="1"/>
        <v>0</v>
      </c>
      <c r="H19" s="297">
        <v>1</v>
      </c>
      <c r="I19" s="312">
        <f t="shared" si="2"/>
        <v>0</v>
      </c>
      <c r="J19" s="423">
        <f t="shared" si="3"/>
        <v>0</v>
      </c>
      <c r="K19" s="259"/>
    </row>
    <row r="20" spans="1:11">
      <c r="A20" s="635" t="s">
        <v>650</v>
      </c>
      <c r="B20" s="636"/>
      <c r="C20" s="417">
        <v>0</v>
      </c>
      <c r="D20" s="417">
        <v>0</v>
      </c>
      <c r="E20" s="410">
        <f t="shared" si="0"/>
        <v>0</v>
      </c>
      <c r="F20" s="420">
        <v>0</v>
      </c>
      <c r="G20" s="410">
        <f t="shared" si="1"/>
        <v>0</v>
      </c>
      <c r="H20" s="297">
        <v>0.2</v>
      </c>
      <c r="I20" s="312">
        <f t="shared" si="2"/>
        <v>0</v>
      </c>
      <c r="J20" s="423">
        <f t="shared" si="3"/>
        <v>0</v>
      </c>
      <c r="K20" s="259"/>
    </row>
    <row r="21" spans="1:11">
      <c r="A21" s="635" t="s">
        <v>651</v>
      </c>
      <c r="B21" s="636"/>
      <c r="C21" s="417">
        <v>0</v>
      </c>
      <c r="D21" s="417">
        <v>0</v>
      </c>
      <c r="E21" s="410">
        <f t="shared" si="0"/>
        <v>0</v>
      </c>
      <c r="F21" s="420">
        <v>0</v>
      </c>
      <c r="G21" s="410">
        <f t="shared" si="1"/>
        <v>0</v>
      </c>
      <c r="H21" s="297">
        <v>0.5</v>
      </c>
      <c r="I21" s="312">
        <f t="shared" si="2"/>
        <v>0</v>
      </c>
      <c r="J21" s="423">
        <f t="shared" si="3"/>
        <v>0</v>
      </c>
      <c r="K21" s="259"/>
    </row>
    <row r="22" spans="1:11">
      <c r="A22" s="635" t="s">
        <v>652</v>
      </c>
      <c r="B22" s="636"/>
      <c r="C22" s="417">
        <v>0</v>
      </c>
      <c r="D22" s="417">
        <v>0</v>
      </c>
      <c r="E22" s="410">
        <f t="shared" si="0"/>
        <v>0</v>
      </c>
      <c r="F22" s="420">
        <v>0</v>
      </c>
      <c r="G22" s="410">
        <f t="shared" si="1"/>
        <v>0</v>
      </c>
      <c r="H22" s="297">
        <v>0</v>
      </c>
      <c r="I22" s="312">
        <f t="shared" si="2"/>
        <v>0</v>
      </c>
      <c r="J22" s="423">
        <f t="shared" si="3"/>
        <v>0</v>
      </c>
      <c r="K22" s="259"/>
    </row>
    <row r="23" spans="1:11">
      <c r="A23" s="67" t="s">
        <v>116</v>
      </c>
      <c r="B23" s="67"/>
      <c r="C23" s="418">
        <f>SUM(C17:C22)</f>
        <v>0</v>
      </c>
      <c r="D23" s="418">
        <f>SUM(D17:D22)</f>
        <v>0</v>
      </c>
      <c r="E23" s="418">
        <f>SUM(E17:E22)</f>
        <v>0</v>
      </c>
      <c r="F23" s="418">
        <f>SUM(F17:F22)</f>
        <v>0</v>
      </c>
      <c r="G23" s="418">
        <f>SUM(G17:G22)</f>
        <v>0</v>
      </c>
      <c r="H23" s="260"/>
      <c r="I23" s="313"/>
      <c r="J23" s="426">
        <f>SUM(J17:J22)</f>
        <v>0</v>
      </c>
      <c r="K23" s="116"/>
    </row>
    <row r="24" spans="1:11">
      <c r="C24" s="414"/>
      <c r="D24" s="414"/>
      <c r="E24" s="414"/>
      <c r="F24" s="414"/>
      <c r="G24" s="414"/>
      <c r="I24" s="314"/>
      <c r="J24" s="388"/>
    </row>
    <row r="25" spans="1:11">
      <c r="A25" s="183" t="s">
        <v>645</v>
      </c>
      <c r="C25" s="414"/>
      <c r="D25" s="414"/>
      <c r="E25" s="414"/>
      <c r="F25" s="414"/>
      <c r="G25" s="414"/>
      <c r="I25" s="314"/>
      <c r="J25" s="388"/>
    </row>
    <row r="26" spans="1:11">
      <c r="A26" s="633" t="s">
        <v>647</v>
      </c>
      <c r="B26" s="634"/>
      <c r="C26" s="415">
        <v>0</v>
      </c>
      <c r="D26" s="415">
        <v>0</v>
      </c>
      <c r="E26" s="416">
        <f t="shared" ref="E26:E31" si="4">C26-D26</f>
        <v>0</v>
      </c>
      <c r="F26" s="415">
        <v>0</v>
      </c>
      <c r="G26" s="416">
        <f t="shared" ref="G26:G31" si="5">IF((E26-F26)&gt;=0,E26-F26,0)</f>
        <v>0</v>
      </c>
      <c r="H26" s="296">
        <v>1</v>
      </c>
      <c r="I26" s="311">
        <f t="shared" ref="I26:I31" si="6">IF(E26&gt;0,0.5,0)</f>
        <v>0</v>
      </c>
      <c r="J26" s="422">
        <f t="shared" ref="J26:J31" si="7">G26*H26*I26</f>
        <v>0</v>
      </c>
      <c r="K26" s="259"/>
    </row>
    <row r="27" spans="1:11">
      <c r="A27" s="820" t="s">
        <v>648</v>
      </c>
      <c r="B27" s="819"/>
      <c r="C27" s="415">
        <v>0</v>
      </c>
      <c r="D27" s="415">
        <v>0</v>
      </c>
      <c r="E27" s="416">
        <f t="shared" si="4"/>
        <v>0</v>
      </c>
      <c r="F27" s="415">
        <v>0</v>
      </c>
      <c r="G27" s="416">
        <f t="shared" si="5"/>
        <v>0</v>
      </c>
      <c r="H27" s="296">
        <v>1</v>
      </c>
      <c r="I27" s="311">
        <f t="shared" si="6"/>
        <v>0</v>
      </c>
      <c r="J27" s="422">
        <f t="shared" si="7"/>
        <v>0</v>
      </c>
      <c r="K27" s="259"/>
    </row>
    <row r="28" spans="1:11">
      <c r="A28" s="635" t="s">
        <v>649</v>
      </c>
      <c r="B28" s="636"/>
      <c r="C28" s="417">
        <v>0</v>
      </c>
      <c r="D28" s="417">
        <v>0</v>
      </c>
      <c r="E28" s="410">
        <f t="shared" si="4"/>
        <v>0</v>
      </c>
      <c r="F28" s="420">
        <v>0</v>
      </c>
      <c r="G28" s="410">
        <f t="shared" si="5"/>
        <v>0</v>
      </c>
      <c r="H28" s="297">
        <v>1</v>
      </c>
      <c r="I28" s="312">
        <f t="shared" si="6"/>
        <v>0</v>
      </c>
      <c r="J28" s="423">
        <f t="shared" si="7"/>
        <v>0</v>
      </c>
      <c r="K28" s="259"/>
    </row>
    <row r="29" spans="1:11">
      <c r="A29" s="635" t="s">
        <v>650</v>
      </c>
      <c r="B29" s="636"/>
      <c r="C29" s="417">
        <v>0</v>
      </c>
      <c r="D29" s="417">
        <v>0</v>
      </c>
      <c r="E29" s="410">
        <f t="shared" si="4"/>
        <v>0</v>
      </c>
      <c r="F29" s="420">
        <v>0</v>
      </c>
      <c r="G29" s="410">
        <f t="shared" si="5"/>
        <v>0</v>
      </c>
      <c r="H29" s="297">
        <v>0.2</v>
      </c>
      <c r="I29" s="312">
        <f t="shared" si="6"/>
        <v>0</v>
      </c>
      <c r="J29" s="423">
        <f t="shared" si="7"/>
        <v>0</v>
      </c>
      <c r="K29" s="259"/>
    </row>
    <row r="30" spans="1:11">
      <c r="A30" s="635" t="s">
        <v>651</v>
      </c>
      <c r="B30" s="636"/>
      <c r="C30" s="417">
        <v>0</v>
      </c>
      <c r="D30" s="417">
        <v>0</v>
      </c>
      <c r="E30" s="410">
        <f t="shared" si="4"/>
        <v>0</v>
      </c>
      <c r="F30" s="420">
        <v>0</v>
      </c>
      <c r="G30" s="410">
        <f t="shared" si="5"/>
        <v>0</v>
      </c>
      <c r="H30" s="297">
        <v>0.5</v>
      </c>
      <c r="I30" s="312">
        <f t="shared" si="6"/>
        <v>0</v>
      </c>
      <c r="J30" s="423">
        <f t="shared" si="7"/>
        <v>0</v>
      </c>
      <c r="K30" s="259"/>
    </row>
    <row r="31" spans="1:11">
      <c r="A31" s="635" t="s">
        <v>652</v>
      </c>
      <c r="B31" s="636"/>
      <c r="C31" s="417">
        <v>0</v>
      </c>
      <c r="D31" s="417">
        <v>0</v>
      </c>
      <c r="E31" s="410">
        <f t="shared" si="4"/>
        <v>0</v>
      </c>
      <c r="F31" s="420">
        <v>0</v>
      </c>
      <c r="G31" s="410">
        <f t="shared" si="5"/>
        <v>0</v>
      </c>
      <c r="H31" s="297">
        <v>0</v>
      </c>
      <c r="I31" s="312">
        <f t="shared" si="6"/>
        <v>0</v>
      </c>
      <c r="J31" s="423">
        <f t="shared" si="7"/>
        <v>0</v>
      </c>
      <c r="K31" s="259"/>
    </row>
    <row r="32" spans="1:11">
      <c r="A32" s="67"/>
      <c r="B32" s="67"/>
      <c r="C32" s="639">
        <f>SUM(C26:C31)</f>
        <v>0</v>
      </c>
      <c r="D32" s="639">
        <f>SUM(D26:D31)</f>
        <v>0</v>
      </c>
      <c r="E32" s="639">
        <f>SUM(E26:E31)</f>
        <v>0</v>
      </c>
      <c r="F32" s="639">
        <f>SUM(F26:F31)</f>
        <v>0</v>
      </c>
      <c r="G32" s="639">
        <f>SUM(G26:G31)</f>
        <v>0</v>
      </c>
      <c r="H32" s="67"/>
      <c r="I32" s="67"/>
      <c r="J32" s="426">
        <f>SUM(J26:J31)</f>
        <v>0</v>
      </c>
    </row>
    <row r="33" spans="1:10">
      <c r="C33" s="419"/>
      <c r="D33" s="419"/>
      <c r="E33" s="419"/>
      <c r="F33" s="419"/>
      <c r="G33" s="419"/>
      <c r="J33" s="388"/>
    </row>
    <row r="34" spans="1:10">
      <c r="A34" s="183" t="s">
        <v>646</v>
      </c>
      <c r="C34" s="414"/>
      <c r="D34" s="414"/>
      <c r="E34" s="414"/>
      <c r="F34" s="414"/>
      <c r="G34" s="414"/>
      <c r="I34" s="314"/>
      <c r="J34" s="388"/>
    </row>
    <row r="35" spans="1:10">
      <c r="A35" s="633" t="s">
        <v>647</v>
      </c>
      <c r="B35" s="634"/>
      <c r="C35" s="415">
        <v>0</v>
      </c>
      <c r="D35" s="415">
        <v>0</v>
      </c>
      <c r="E35" s="416">
        <f>C35-D35</f>
        <v>0</v>
      </c>
      <c r="F35" s="415">
        <v>0</v>
      </c>
      <c r="G35" s="416">
        <f>IF((E35-F35)&gt;=0,E35-F35,0)</f>
        <v>0</v>
      </c>
      <c r="H35" s="296">
        <v>1</v>
      </c>
      <c r="I35" s="311">
        <f>IF(E35&gt;0,1,0)</f>
        <v>0</v>
      </c>
      <c r="J35" s="422">
        <f>G35*H35*I35</f>
        <v>0</v>
      </c>
    </row>
    <row r="36" spans="1:10">
      <c r="A36" s="635" t="s">
        <v>649</v>
      </c>
      <c r="B36" s="636"/>
      <c r="C36" s="417">
        <v>0</v>
      </c>
      <c r="D36" s="417">
        <v>0</v>
      </c>
      <c r="E36" s="410">
        <f>C36-D36</f>
        <v>0</v>
      </c>
      <c r="F36" s="420">
        <v>0</v>
      </c>
      <c r="G36" s="410">
        <f>IF((E36-F36)&gt;=0,E36-F36,0)</f>
        <v>0</v>
      </c>
      <c r="H36" s="297">
        <v>1</v>
      </c>
      <c r="I36" s="312">
        <f>IF(E36&gt;0,1,0)</f>
        <v>0</v>
      </c>
      <c r="J36" s="423">
        <f>G36*H36*I36</f>
        <v>0</v>
      </c>
    </row>
    <row r="37" spans="1:10">
      <c r="A37" s="635" t="s">
        <v>650</v>
      </c>
      <c r="B37" s="636"/>
      <c r="C37" s="417">
        <v>0</v>
      </c>
      <c r="D37" s="417">
        <v>0</v>
      </c>
      <c r="E37" s="410">
        <f>C37-D37</f>
        <v>0</v>
      </c>
      <c r="F37" s="420">
        <v>0</v>
      </c>
      <c r="G37" s="410">
        <f>IF((E37-F37)&gt;=0,E37-F37,0)</f>
        <v>0</v>
      </c>
      <c r="H37" s="297">
        <v>0.2</v>
      </c>
      <c r="I37" s="312">
        <f>IF(E37&gt;0,1,0)</f>
        <v>0</v>
      </c>
      <c r="J37" s="423">
        <f>G37*H37*I37</f>
        <v>0</v>
      </c>
    </row>
    <row r="38" spans="1:10">
      <c r="A38" s="635" t="s">
        <v>651</v>
      </c>
      <c r="B38" s="636"/>
      <c r="C38" s="417">
        <v>0</v>
      </c>
      <c r="D38" s="417">
        <v>0</v>
      </c>
      <c r="E38" s="410">
        <f>C38-D38</f>
        <v>0</v>
      </c>
      <c r="F38" s="420">
        <v>0</v>
      </c>
      <c r="G38" s="410">
        <f>IF((E38-F38)&gt;=0,E38-F38,0)</f>
        <v>0</v>
      </c>
      <c r="H38" s="297">
        <v>0.5</v>
      </c>
      <c r="I38" s="312">
        <f>IF(E38&gt;0,1,0)</f>
        <v>0</v>
      </c>
      <c r="J38" s="423">
        <f>G38*H38*I38</f>
        <v>0</v>
      </c>
    </row>
    <row r="39" spans="1:10">
      <c r="A39" s="635" t="s">
        <v>652</v>
      </c>
      <c r="B39" s="636"/>
      <c r="C39" s="417">
        <v>0</v>
      </c>
      <c r="D39" s="417">
        <v>0</v>
      </c>
      <c r="E39" s="410">
        <f>C39-D39</f>
        <v>0</v>
      </c>
      <c r="F39" s="420">
        <v>0</v>
      </c>
      <c r="G39" s="410">
        <f>IF((E39-F39)&gt;=0,E39-F39,0)</f>
        <v>0</v>
      </c>
      <c r="H39" s="297">
        <v>0</v>
      </c>
      <c r="I39" s="312">
        <f>IF(E39&gt;0,1,0)</f>
        <v>0</v>
      </c>
      <c r="J39" s="423">
        <f>G39*H39*I39</f>
        <v>0</v>
      </c>
    </row>
    <row r="40" spans="1:10">
      <c r="A40" s="67"/>
      <c r="B40" s="67"/>
      <c r="C40" s="639">
        <f>SUM(C35:C39)</f>
        <v>0</v>
      </c>
      <c r="D40" s="639">
        <f>SUM(D35:D39)</f>
        <v>0</v>
      </c>
      <c r="E40" s="639">
        <f>SUM(E35:E39)</f>
        <v>0</v>
      </c>
      <c r="F40" s="639">
        <f>SUM(F35:F39)</f>
        <v>0</v>
      </c>
      <c r="G40" s="639">
        <f>SUM(G35:G39)</f>
        <v>0</v>
      </c>
      <c r="H40" s="67"/>
      <c r="I40" s="67"/>
      <c r="J40" s="426">
        <f>SUM(J35:J39)</f>
        <v>0</v>
      </c>
    </row>
    <row r="41" spans="1:10">
      <c r="C41" s="419"/>
      <c r="D41" s="419"/>
      <c r="E41" s="419"/>
      <c r="F41" s="419"/>
      <c r="G41" s="804" t="s">
        <v>168</v>
      </c>
      <c r="J41" s="388"/>
    </row>
    <row r="42" spans="1:10">
      <c r="C42" s="419"/>
      <c r="D42" s="419"/>
      <c r="E42" s="419"/>
      <c r="F42" s="419"/>
      <c r="G42" s="419"/>
      <c r="J42" s="388"/>
    </row>
    <row r="43" spans="1:10">
      <c r="A43" s="153" t="s">
        <v>653</v>
      </c>
      <c r="C43" s="419"/>
      <c r="D43" s="419"/>
      <c r="E43" s="419"/>
      <c r="F43" s="419"/>
      <c r="G43" s="419"/>
      <c r="J43" s="388"/>
    </row>
    <row r="44" spans="1:10">
      <c r="A44" s="763" t="s">
        <v>654</v>
      </c>
      <c r="B44" s="634"/>
      <c r="C44" s="415"/>
      <c r="D44" s="415"/>
      <c r="E44" s="416">
        <f>C44-D44</f>
        <v>0</v>
      </c>
      <c r="F44" s="415"/>
      <c r="G44" s="416">
        <f>IF((E44-F44)&gt;=0,E44-F44,0)</f>
        <v>0</v>
      </c>
      <c r="H44" s="296">
        <v>0.5</v>
      </c>
      <c r="I44" s="296">
        <f>IF(E44&gt;0,0.08,0)</f>
        <v>0</v>
      </c>
      <c r="J44" s="422">
        <f>G44*H44*I44</f>
        <v>0</v>
      </c>
    </row>
    <row r="45" spans="1:10">
      <c r="A45" s="637" t="s">
        <v>655</v>
      </c>
      <c r="B45" s="638"/>
      <c r="C45" s="420"/>
      <c r="D45" s="420"/>
      <c r="E45" s="421">
        <f>C45-D45</f>
        <v>0</v>
      </c>
      <c r="F45" s="417"/>
      <c r="G45" s="421">
        <f>IF((E45-F45)&gt;=0,E45-F45,0)</f>
        <v>0</v>
      </c>
      <c r="H45" s="297">
        <v>0.5</v>
      </c>
      <c r="I45" s="297">
        <f>IF(E45&gt;0,1,0)</f>
        <v>0</v>
      </c>
      <c r="J45" s="423">
        <f>G45*H45*I45</f>
        <v>0</v>
      </c>
    </row>
    <row r="46" spans="1:10" ht="13.5" thickBot="1">
      <c r="A46" s="308"/>
      <c r="B46" s="309"/>
      <c r="C46" s="412">
        <f>SUM(C44:C45)</f>
        <v>0</v>
      </c>
      <c r="D46" s="412">
        <f>SUM(D44:D45)</f>
        <v>0</v>
      </c>
      <c r="E46" s="412">
        <f>SUM(E44:E45)</f>
        <v>0</v>
      </c>
      <c r="F46" s="412">
        <f>SUM(F44:F45)</f>
        <v>0</v>
      </c>
      <c r="G46" s="412">
        <f>SUM(G44:G45)</f>
        <v>0</v>
      </c>
      <c r="H46" s="307"/>
      <c r="I46" s="307"/>
      <c r="J46" s="427">
        <f>SUM(J44:J45)</f>
        <v>0</v>
      </c>
    </row>
    <row r="47" spans="1:10" ht="13.5" thickTop="1">
      <c r="C47" s="419"/>
      <c r="D47" s="419"/>
      <c r="E47" s="419"/>
      <c r="F47" s="419"/>
      <c r="G47" s="419"/>
      <c r="J47" s="388"/>
    </row>
    <row r="48" spans="1:10">
      <c r="C48" s="419"/>
      <c r="D48" s="419"/>
      <c r="E48" s="419"/>
      <c r="F48" s="419"/>
      <c r="G48" s="419"/>
    </row>
  </sheetData>
  <sheetProtection password="9399" sheet="1"/>
  <customSheetViews>
    <customSheetView guid="{504CC784-4394-4648-B9CE-DFC32001696E}" showGridLines="0" fitToPage="1" showRuler="0">
      <selection activeCell="C8" sqref="C8"/>
      <pageMargins left="0" right="0" top="0" bottom="0" header="0" footer="0"/>
      <printOptions horizontalCentered="1"/>
      <pageSetup scale="83" orientation="landscape" r:id="rId1"/>
      <headerFooter alignWithMargins="0"/>
    </customSheetView>
  </customSheetViews>
  <phoneticPr fontId="22" type="noConversion"/>
  <printOptions horizontalCentered="1"/>
  <pageMargins left="0.5" right="0.5" top="0.75" bottom="0.75" header="0.5" footer="0.5"/>
  <pageSetup scale="89"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0</xdr:col>
                    <xdr:colOff>1152525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0</xdr:col>
                    <xdr:colOff>1152525</xdr:colOff>
                    <xdr:row>2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D6B5A-F75B-426E-983E-DEB471D41DBF}">
  <sheetPr codeName="Sheet11">
    <pageSetUpPr fitToPage="1"/>
  </sheetPr>
  <dimension ref="A1:F51"/>
  <sheetViews>
    <sheetView workbookViewId="0">
      <pane xSplit="1" ySplit="4" topLeftCell="B9" activePane="bottomRight" state="frozen"/>
      <selection pane="bottomRight" activeCell="B22" sqref="B22"/>
      <selection pane="bottomLeft" activeCell="A5" sqref="A5"/>
      <selection pane="topRight" activeCell="B1" sqref="B1"/>
    </sheetView>
  </sheetViews>
  <sheetFormatPr defaultRowHeight="12.75"/>
  <cols>
    <col min="1" max="1" width="5.7109375" customWidth="1"/>
    <col min="2" max="2" width="26.7109375" customWidth="1"/>
    <col min="3" max="4" width="18.28515625" style="90" customWidth="1"/>
    <col min="5" max="5" width="17.28515625" style="90" customWidth="1"/>
    <col min="6" max="6" width="17.28515625" customWidth="1"/>
  </cols>
  <sheetData>
    <row r="1" spans="1:6" s="14" customFormat="1" ht="15">
      <c r="A1" s="878" t="str">
        <f>+'trial balance'!A1:C1</f>
        <v>NAME OF THE TRADING PARTICIPANT</v>
      </c>
      <c r="B1" s="878"/>
      <c r="C1" s="878"/>
      <c r="D1" s="878"/>
      <c r="E1" s="878"/>
      <c r="F1" s="878"/>
    </row>
    <row r="2" spans="1:6" s="14" customFormat="1" ht="15">
      <c r="A2" s="879" t="s">
        <v>656</v>
      </c>
      <c r="B2" s="879"/>
      <c r="C2" s="879"/>
      <c r="D2" s="879"/>
      <c r="E2" s="879"/>
      <c r="F2" s="879"/>
    </row>
    <row r="3" spans="1:6" s="14" customFormat="1" ht="15">
      <c r="A3" s="880" t="str">
        <f>+'trial balance'!A3:C3</f>
        <v>mm/dd/yyyy</v>
      </c>
      <c r="B3" s="880"/>
      <c r="C3" s="880"/>
      <c r="D3" s="880"/>
      <c r="E3" s="880"/>
      <c r="F3" s="880"/>
    </row>
    <row r="4" spans="1:6" s="14" customFormat="1" ht="15">
      <c r="A4" s="879" t="s">
        <v>657</v>
      </c>
      <c r="B4" s="879"/>
      <c r="C4" s="879"/>
      <c r="D4" s="879"/>
      <c r="E4" s="879"/>
      <c r="F4" s="879"/>
    </row>
    <row r="5" spans="1:6" s="14" customFormat="1" ht="15">
      <c r="C5" s="95"/>
      <c r="D5" s="95"/>
      <c r="E5" s="95"/>
    </row>
    <row r="7" spans="1:6" s="1" customFormat="1">
      <c r="C7" s="92" t="s">
        <v>658</v>
      </c>
      <c r="D7" s="881" t="s">
        <v>659</v>
      </c>
      <c r="E7" s="881"/>
    </row>
    <row r="8" spans="1:6" s="1" customFormat="1">
      <c r="C8" s="96" t="s">
        <v>660</v>
      </c>
      <c r="D8" s="884" t="s">
        <v>661</v>
      </c>
      <c r="E8" s="884"/>
      <c r="F8" s="68"/>
    </row>
    <row r="9" spans="1:6" s="1" customFormat="1">
      <c r="C9" s="88"/>
      <c r="D9" s="88"/>
      <c r="E9" s="88"/>
    </row>
    <row r="10" spans="1:6" s="1" customFormat="1" ht="13.5" thickBot="1">
      <c r="A10" s="883" t="s">
        <v>662</v>
      </c>
      <c r="B10" s="883"/>
      <c r="C10" s="97"/>
      <c r="D10" s="89" t="s">
        <v>663</v>
      </c>
      <c r="E10" s="89" t="s">
        <v>664</v>
      </c>
      <c r="F10" s="13" t="s">
        <v>665</v>
      </c>
    </row>
    <row r="12" spans="1:6">
      <c r="A12" s="1" t="s">
        <v>666</v>
      </c>
      <c r="C12" s="94"/>
      <c r="D12" s="94"/>
      <c r="E12" s="94"/>
      <c r="F12" s="94"/>
    </row>
    <row r="13" spans="1:6">
      <c r="A13" s="1"/>
      <c r="B13" s="1" t="s">
        <v>667</v>
      </c>
      <c r="C13" s="94"/>
      <c r="D13" s="94"/>
      <c r="E13" s="94"/>
      <c r="F13" s="94"/>
    </row>
    <row r="14" spans="1:6">
      <c r="A14" t="s">
        <v>668</v>
      </c>
      <c r="B14" t="s">
        <v>669</v>
      </c>
      <c r="C14" s="94"/>
      <c r="D14" s="94"/>
      <c r="E14" s="94"/>
      <c r="F14" s="94"/>
    </row>
    <row r="15" spans="1:6">
      <c r="B15" t="s">
        <v>670</v>
      </c>
      <c r="C15" s="94"/>
      <c r="D15" s="94"/>
      <c r="E15" s="94"/>
      <c r="F15" s="94"/>
    </row>
    <row r="16" spans="1:6">
      <c r="B16" t="s">
        <v>671</v>
      </c>
      <c r="C16" s="94"/>
      <c r="D16" s="94"/>
      <c r="E16" s="94"/>
      <c r="F16" s="94"/>
    </row>
    <row r="17" spans="2:6">
      <c r="B17" t="s">
        <v>672</v>
      </c>
      <c r="C17" s="94"/>
      <c r="D17" s="94"/>
      <c r="E17" s="94"/>
      <c r="F17" s="94"/>
    </row>
    <row r="18" spans="2:6">
      <c r="B18" t="s">
        <v>673</v>
      </c>
      <c r="C18" s="181"/>
      <c r="D18" s="181"/>
      <c r="E18" s="181"/>
      <c r="F18" s="94">
        <f>+C18-D18</f>
        <v>0</v>
      </c>
    </row>
    <row r="19" spans="2:6">
      <c r="B19" t="s">
        <v>665</v>
      </c>
      <c r="C19" s="228"/>
      <c r="D19" s="227"/>
      <c r="E19" s="227"/>
      <c r="F19" s="227">
        <f>+C19</f>
        <v>0</v>
      </c>
    </row>
    <row r="20" spans="2:6">
      <c r="C20" s="229"/>
      <c r="D20" s="94"/>
      <c r="E20" s="94"/>
      <c r="F20" s="94"/>
    </row>
    <row r="21" spans="2:6">
      <c r="B21" t="s">
        <v>674</v>
      </c>
      <c r="C21" s="227">
        <f>SUM(C14:C19)</f>
        <v>0</v>
      </c>
      <c r="D21" s="227">
        <f>SUM(D14:D19)</f>
        <v>0</v>
      </c>
      <c r="E21" s="227">
        <f>SUM(E14:E19)</f>
        <v>0</v>
      </c>
      <c r="F21" s="227">
        <f>SUM(F14:F19)</f>
        <v>0</v>
      </c>
    </row>
    <row r="22" spans="2:6">
      <c r="C22" s="181"/>
      <c r="D22" s="181"/>
      <c r="E22" s="181"/>
      <c r="F22" s="94"/>
    </row>
    <row r="23" spans="2:6">
      <c r="B23" s="1" t="s">
        <v>675</v>
      </c>
      <c r="C23" s="181"/>
      <c r="D23" s="181"/>
      <c r="E23" s="181"/>
      <c r="F23" s="94"/>
    </row>
    <row r="24" spans="2:6">
      <c r="B24" t="s">
        <v>669</v>
      </c>
      <c r="C24" s="181"/>
      <c r="D24" s="181"/>
      <c r="E24" s="181"/>
      <c r="F24" s="94"/>
    </row>
    <row r="25" spans="2:6">
      <c r="B25" t="s">
        <v>670</v>
      </c>
      <c r="C25" s="181"/>
      <c r="D25" s="181"/>
      <c r="E25" s="181"/>
      <c r="F25" s="94"/>
    </row>
    <row r="26" spans="2:6">
      <c r="B26" t="s">
        <v>671</v>
      </c>
      <c r="C26" s="181"/>
      <c r="D26" s="181"/>
      <c r="E26" s="181"/>
      <c r="F26" s="94"/>
    </row>
    <row r="27" spans="2:6">
      <c r="B27" t="s">
        <v>672</v>
      </c>
      <c r="C27" s="181"/>
      <c r="D27" s="181"/>
      <c r="E27" s="181"/>
      <c r="F27" s="94"/>
    </row>
    <row r="28" spans="2:6">
      <c r="B28" t="s">
        <v>673</v>
      </c>
      <c r="C28" s="181"/>
      <c r="D28" s="181"/>
      <c r="E28" s="181"/>
      <c r="F28" s="94">
        <f>+C28-D28</f>
        <v>0</v>
      </c>
    </row>
    <row r="29" spans="2:6">
      <c r="B29" t="s">
        <v>665</v>
      </c>
      <c r="C29" s="228"/>
      <c r="D29" s="227"/>
      <c r="E29" s="227"/>
      <c r="F29" s="227">
        <f>+C29-D29</f>
        <v>0</v>
      </c>
    </row>
    <row r="30" spans="2:6">
      <c r="C30" s="94"/>
      <c r="D30" s="94"/>
      <c r="E30" s="94"/>
      <c r="F30" s="94"/>
    </row>
    <row r="31" spans="2:6">
      <c r="B31" t="s">
        <v>674</v>
      </c>
      <c r="C31" s="227">
        <f>SUM(C24:C29)</f>
        <v>0</v>
      </c>
      <c r="D31" s="227">
        <f>SUM(D24:D29)</f>
        <v>0</v>
      </c>
      <c r="E31" s="227">
        <f>SUM(E24:E29)</f>
        <v>0</v>
      </c>
      <c r="F31" s="227">
        <f>SUM(F24:F29)</f>
        <v>0</v>
      </c>
    </row>
    <row r="32" spans="2:6">
      <c r="C32" s="181"/>
      <c r="D32" s="181"/>
      <c r="E32" s="181"/>
      <c r="F32" s="94"/>
    </row>
    <row r="33" spans="1:6">
      <c r="B33" t="s">
        <v>676</v>
      </c>
      <c r="C33" s="227">
        <f>+C21+C31</f>
        <v>0</v>
      </c>
      <c r="D33" s="227">
        <f>+D21+D31</f>
        <v>0</v>
      </c>
      <c r="E33" s="227"/>
      <c r="F33" s="227">
        <f>+F31+F21</f>
        <v>0</v>
      </c>
    </row>
    <row r="34" spans="1:6">
      <c r="C34" s="94"/>
      <c r="D34" s="94"/>
      <c r="E34" s="94"/>
      <c r="F34" s="94"/>
    </row>
    <row r="35" spans="1:6">
      <c r="A35" s="1" t="s">
        <v>677</v>
      </c>
      <c r="C35" s="94"/>
      <c r="D35" s="94"/>
      <c r="E35" s="94"/>
      <c r="F35" s="94"/>
    </row>
    <row r="36" spans="1:6">
      <c r="A36" t="s">
        <v>668</v>
      </c>
      <c r="B36" t="s">
        <v>678</v>
      </c>
      <c r="C36" s="94"/>
      <c r="D36" s="94"/>
      <c r="E36" s="94"/>
      <c r="F36" s="94"/>
    </row>
    <row r="37" spans="1:6">
      <c r="B37" t="s">
        <v>679</v>
      </c>
      <c r="C37" s="94"/>
      <c r="D37" s="94"/>
      <c r="E37" s="94"/>
      <c r="F37" s="94"/>
    </row>
    <row r="38" spans="1:6">
      <c r="B38" t="s">
        <v>680</v>
      </c>
      <c r="C38" s="227"/>
      <c r="D38" s="227"/>
      <c r="E38" s="227"/>
      <c r="F38" s="227"/>
    </row>
    <row r="39" spans="1:6">
      <c r="C39" s="181"/>
      <c r="D39" s="181"/>
      <c r="E39" s="181"/>
      <c r="F39" s="94"/>
    </row>
    <row r="40" spans="1:6">
      <c r="C40" s="227">
        <f>SUM(C37:C38)</f>
        <v>0</v>
      </c>
      <c r="D40" s="227">
        <f>SUM(D37:D38)</f>
        <v>0</v>
      </c>
      <c r="E40" s="227">
        <f>SUM(E37:E38)</f>
        <v>0</v>
      </c>
      <c r="F40" s="227"/>
    </row>
    <row r="41" spans="1:6">
      <c r="C41" s="94"/>
      <c r="D41" s="94"/>
      <c r="E41" s="94"/>
      <c r="F41" s="94"/>
    </row>
    <row r="42" spans="1:6">
      <c r="B42" t="s">
        <v>681</v>
      </c>
      <c r="C42" s="94"/>
      <c r="D42" s="94"/>
      <c r="E42" s="94"/>
      <c r="F42" s="94"/>
    </row>
    <row r="43" spans="1:6">
      <c r="B43" t="s">
        <v>682</v>
      </c>
      <c r="C43" s="94">
        <v>0</v>
      </c>
      <c r="D43" s="94"/>
      <c r="E43" s="94"/>
      <c r="F43" s="94"/>
    </row>
    <row r="44" spans="1:6">
      <c r="B44" t="s">
        <v>683</v>
      </c>
      <c r="C44" s="227">
        <v>0</v>
      </c>
      <c r="D44" s="227"/>
      <c r="E44" s="227"/>
      <c r="F44" s="227"/>
    </row>
    <row r="45" spans="1:6">
      <c r="C45" s="94"/>
      <c r="D45" s="94"/>
      <c r="E45" s="94"/>
      <c r="F45" s="94"/>
    </row>
    <row r="46" spans="1:6">
      <c r="C46" s="227">
        <f>SUM(C43:C44)</f>
        <v>0</v>
      </c>
      <c r="D46" s="227">
        <f>SUM(D43:D44)</f>
        <v>0</v>
      </c>
      <c r="E46" s="227">
        <f>SUM(E43:E44)</f>
        <v>0</v>
      </c>
      <c r="F46" s="227"/>
    </row>
    <row r="47" spans="1:6">
      <c r="C47" s="94"/>
      <c r="D47" s="94"/>
      <c r="E47" s="94"/>
      <c r="F47" s="94"/>
    </row>
    <row r="48" spans="1:6">
      <c r="B48" t="s">
        <v>684</v>
      </c>
      <c r="C48" s="227">
        <f>+C40+C46</f>
        <v>0</v>
      </c>
      <c r="D48" s="227">
        <f>+D40+D46</f>
        <v>0</v>
      </c>
      <c r="E48" s="227">
        <f>+E40+E46</f>
        <v>0</v>
      </c>
      <c r="F48" s="227">
        <f>+F46+F40</f>
        <v>0</v>
      </c>
    </row>
    <row r="49" spans="1:6">
      <c r="C49" s="230"/>
      <c r="D49" s="230"/>
      <c r="E49" s="230"/>
      <c r="F49" s="94"/>
    </row>
    <row r="50" spans="1:6" ht="13.5" thickBot="1">
      <c r="A50" s="1" t="s">
        <v>685</v>
      </c>
      <c r="C50" s="231">
        <f>+C33-C48</f>
        <v>0</v>
      </c>
      <c r="D50" s="231">
        <f>+D48+D33</f>
        <v>0</v>
      </c>
      <c r="E50" s="231"/>
      <c r="F50" s="232">
        <f>+F33+F48</f>
        <v>0</v>
      </c>
    </row>
    <row r="51" spans="1:6" ht="13.5" thickTop="1"/>
  </sheetData>
  <customSheetViews>
    <customSheetView guid="{504CC784-4394-4648-B9CE-DFC32001696E}" fitToPage="1" state="hidden" showRuler="0">
      <pane xSplit="1" ySplit="4" topLeftCell="B9" activePane="bottomRight" state="frozen"/>
      <selection pane="bottomRight" activeCell="B22" sqref="B22"/>
      <pageMargins left="0" right="0" top="0" bottom="0" header="0" footer="0"/>
      <pageSetup scale="87" orientation="portrait" r:id="rId1"/>
      <headerFooter alignWithMargins="0"/>
    </customSheetView>
  </customSheetViews>
  <mergeCells count="7">
    <mergeCell ref="A10:B10"/>
    <mergeCell ref="A4:F4"/>
    <mergeCell ref="A2:F2"/>
    <mergeCell ref="A1:F1"/>
    <mergeCell ref="A3:F3"/>
    <mergeCell ref="D7:E7"/>
    <mergeCell ref="D8:E8"/>
  </mergeCells>
  <phoneticPr fontId="22" type="noConversion"/>
  <pageMargins left="0.75" right="0.75" top="1" bottom="1" header="0.5" footer="0.5"/>
  <pageSetup scale="87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0" r:id="rId5" name="Button 2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742950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Button 3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1</xdr:col>
                    <xdr:colOff>742950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C358-145A-49BC-8DAD-4E9749312858}">
  <sheetPr codeName="Sheet12"/>
  <dimension ref="A1:F51"/>
  <sheetViews>
    <sheetView workbookViewId="0">
      <selection activeCell="E30" sqref="E30"/>
    </sheetView>
  </sheetViews>
  <sheetFormatPr defaultRowHeight="12.75"/>
  <cols>
    <col min="1" max="1" width="5.7109375" customWidth="1"/>
    <col min="2" max="2" width="22.28515625" customWidth="1"/>
    <col min="3" max="4" width="18.28515625" customWidth="1"/>
    <col min="5" max="6" width="17.28515625" customWidth="1"/>
  </cols>
  <sheetData>
    <row r="1" spans="1:6" ht="15">
      <c r="A1" s="878" t="str">
        <f>+'trial balance'!A1:C1</f>
        <v>NAME OF THE TRADING PARTICIPANT</v>
      </c>
      <c r="B1" s="878"/>
      <c r="C1" s="878"/>
      <c r="D1" s="878"/>
      <c r="E1" s="878"/>
      <c r="F1" s="878"/>
    </row>
    <row r="2" spans="1:6" ht="15">
      <c r="A2" s="879" t="s">
        <v>656</v>
      </c>
      <c r="B2" s="879"/>
      <c r="C2" s="879"/>
      <c r="D2" s="879"/>
      <c r="E2" s="879"/>
      <c r="F2" s="879"/>
    </row>
    <row r="3" spans="1:6" ht="15">
      <c r="A3" s="880" t="str">
        <f>+'trial balance'!A3:C3</f>
        <v>mm/dd/yyyy</v>
      </c>
      <c r="B3" s="880"/>
      <c r="C3" s="880"/>
      <c r="D3" s="880"/>
      <c r="E3" s="880"/>
      <c r="F3" s="880"/>
    </row>
    <row r="4" spans="1:6" ht="15">
      <c r="A4" s="879" t="s">
        <v>686</v>
      </c>
      <c r="B4" s="879"/>
      <c r="C4" s="879"/>
      <c r="D4" s="879"/>
      <c r="E4" s="879"/>
      <c r="F4" s="879"/>
    </row>
    <row r="5" spans="1:6" ht="15">
      <c r="A5" s="14"/>
      <c r="B5" s="14"/>
      <c r="C5" s="95"/>
      <c r="D5" s="95"/>
      <c r="E5" s="95"/>
      <c r="F5" s="14"/>
    </row>
    <row r="6" spans="1:6">
      <c r="C6" s="90"/>
      <c r="D6" s="90"/>
      <c r="E6" s="90"/>
    </row>
    <row r="7" spans="1:6">
      <c r="A7" s="1"/>
      <c r="B7" s="1"/>
      <c r="C7" s="92" t="s">
        <v>658</v>
      </c>
      <c r="D7" s="881" t="s">
        <v>659</v>
      </c>
      <c r="E7" s="881"/>
      <c r="F7" s="1"/>
    </row>
    <row r="8" spans="1:6">
      <c r="A8" s="1"/>
      <c r="B8" s="1"/>
      <c r="C8" s="96" t="s">
        <v>660</v>
      </c>
      <c r="D8" s="884" t="s">
        <v>661</v>
      </c>
      <c r="E8" s="884"/>
      <c r="F8" s="68"/>
    </row>
    <row r="9" spans="1:6">
      <c r="A9" s="1"/>
      <c r="B9" s="1"/>
      <c r="C9" s="88"/>
      <c r="D9" s="88"/>
      <c r="E9" s="88"/>
      <c r="F9" s="1"/>
    </row>
    <row r="10" spans="1:6" ht="13.5" thickBot="1">
      <c r="A10" s="883" t="s">
        <v>662</v>
      </c>
      <c r="B10" s="883"/>
      <c r="C10" s="97"/>
      <c r="D10" s="89" t="s">
        <v>663</v>
      </c>
      <c r="E10" s="89" t="s">
        <v>664</v>
      </c>
      <c r="F10" s="13" t="s">
        <v>665</v>
      </c>
    </row>
    <row r="11" spans="1:6">
      <c r="C11" s="90"/>
      <c r="D11" s="90"/>
      <c r="E11" s="90"/>
    </row>
    <row r="12" spans="1:6">
      <c r="A12" s="1" t="s">
        <v>666</v>
      </c>
      <c r="C12" s="90"/>
      <c r="D12" s="90"/>
      <c r="E12" s="90"/>
    </row>
    <row r="13" spans="1:6">
      <c r="A13" s="1"/>
      <c r="B13" s="1" t="s">
        <v>667</v>
      </c>
      <c r="C13" s="90"/>
      <c r="D13" s="90"/>
      <c r="E13" s="90"/>
    </row>
    <row r="14" spans="1:6">
      <c r="A14" t="s">
        <v>668</v>
      </c>
      <c r="B14" t="s">
        <v>669</v>
      </c>
      <c r="C14" s="90"/>
      <c r="D14" s="90"/>
      <c r="E14" s="90"/>
    </row>
    <row r="15" spans="1:6">
      <c r="B15" t="s">
        <v>670</v>
      </c>
      <c r="C15" s="90"/>
      <c r="D15" s="90"/>
      <c r="E15" s="90"/>
    </row>
    <row r="16" spans="1:6">
      <c r="B16" t="s">
        <v>671</v>
      </c>
      <c r="C16" s="90"/>
      <c r="D16" s="90"/>
      <c r="E16" s="90"/>
    </row>
    <row r="17" spans="2:6">
      <c r="B17" t="s">
        <v>672</v>
      </c>
      <c r="C17" s="90"/>
      <c r="D17" s="90"/>
      <c r="E17" s="90"/>
    </row>
    <row r="18" spans="2:6">
      <c r="B18" t="s">
        <v>673</v>
      </c>
      <c r="C18" s="93"/>
      <c r="D18" s="93"/>
      <c r="E18" s="93"/>
      <c r="F18" s="103">
        <f>+C18-D18</f>
        <v>0</v>
      </c>
    </row>
    <row r="19" spans="2:6">
      <c r="B19" t="s">
        <v>665</v>
      </c>
      <c r="C19" s="98"/>
      <c r="D19" s="91"/>
      <c r="E19" s="91"/>
      <c r="F19" s="104">
        <f>+C19</f>
        <v>0</v>
      </c>
    </row>
    <row r="20" spans="2:6">
      <c r="C20" s="99"/>
      <c r="D20" s="90"/>
      <c r="E20" s="90"/>
    </row>
    <row r="21" spans="2:6">
      <c r="B21" t="s">
        <v>674</v>
      </c>
      <c r="C21" s="91">
        <f>SUM(C14:C19)</f>
        <v>0</v>
      </c>
      <c r="D21" s="91">
        <f>SUM(D14:D19)</f>
        <v>0</v>
      </c>
      <c r="E21" s="91"/>
      <c r="F21" s="91">
        <f>SUM(F14:F19)</f>
        <v>0</v>
      </c>
    </row>
    <row r="22" spans="2:6">
      <c r="C22" s="93"/>
      <c r="D22" s="93"/>
      <c r="E22" s="93"/>
    </row>
    <row r="23" spans="2:6">
      <c r="B23" s="1" t="s">
        <v>675</v>
      </c>
      <c r="C23" s="93"/>
      <c r="D23" s="93"/>
      <c r="E23" s="93"/>
    </row>
    <row r="24" spans="2:6">
      <c r="B24" t="s">
        <v>669</v>
      </c>
      <c r="C24" s="93"/>
      <c r="D24" s="93"/>
      <c r="E24" s="93"/>
    </row>
    <row r="25" spans="2:6">
      <c r="B25" t="s">
        <v>670</v>
      </c>
      <c r="C25" s="93"/>
      <c r="D25" s="93"/>
      <c r="E25" s="93"/>
    </row>
    <row r="26" spans="2:6">
      <c r="B26" t="s">
        <v>671</v>
      </c>
      <c r="C26" s="93"/>
      <c r="D26" s="93"/>
      <c r="E26" s="93"/>
    </row>
    <row r="27" spans="2:6">
      <c r="B27" t="s">
        <v>672</v>
      </c>
      <c r="C27" s="93"/>
      <c r="D27" s="93"/>
      <c r="E27" s="93"/>
    </row>
    <row r="28" spans="2:6">
      <c r="B28" t="s">
        <v>673</v>
      </c>
      <c r="C28" s="93"/>
      <c r="D28" s="93"/>
      <c r="E28" s="93"/>
    </row>
    <row r="29" spans="2:6">
      <c r="B29" t="s">
        <v>665</v>
      </c>
      <c r="C29" s="98"/>
      <c r="D29" s="91"/>
      <c r="E29" s="91"/>
      <c r="F29" s="10"/>
    </row>
    <row r="30" spans="2:6">
      <c r="C30" s="90"/>
      <c r="D30" s="90"/>
      <c r="E30" s="90"/>
    </row>
    <row r="31" spans="2:6">
      <c r="B31" t="s">
        <v>674</v>
      </c>
      <c r="C31" s="91">
        <f>SUM(C24:C29)</f>
        <v>0</v>
      </c>
      <c r="D31" s="91">
        <f>SUM(D24:D29)</f>
        <v>0</v>
      </c>
      <c r="E31" s="91"/>
      <c r="F31" s="10"/>
    </row>
    <row r="32" spans="2:6">
      <c r="C32" s="93"/>
      <c r="D32" s="93"/>
      <c r="E32" s="93"/>
    </row>
    <row r="33" spans="1:6">
      <c r="B33" t="s">
        <v>676</v>
      </c>
      <c r="C33" s="91">
        <f>+C21+C31</f>
        <v>0</v>
      </c>
      <c r="D33" s="91">
        <f>+D21+D31</f>
        <v>0</v>
      </c>
      <c r="E33" s="91"/>
      <c r="F33" s="104">
        <f>+F31+F21</f>
        <v>0</v>
      </c>
    </row>
    <row r="34" spans="1:6">
      <c r="C34" s="90"/>
      <c r="D34" s="90"/>
      <c r="E34" s="90"/>
    </row>
    <row r="35" spans="1:6">
      <c r="A35" s="1" t="s">
        <v>677</v>
      </c>
      <c r="C35" s="90"/>
      <c r="D35" s="90"/>
      <c r="E35" s="90"/>
    </row>
    <row r="36" spans="1:6">
      <c r="A36" t="s">
        <v>668</v>
      </c>
      <c r="B36" t="s">
        <v>678</v>
      </c>
      <c r="C36" s="90"/>
      <c r="D36" s="90"/>
      <c r="E36" s="90"/>
    </row>
    <row r="37" spans="1:6">
      <c r="B37" t="s">
        <v>679</v>
      </c>
      <c r="C37" s="90"/>
      <c r="D37" s="90"/>
      <c r="E37" s="90"/>
    </row>
    <row r="38" spans="1:6">
      <c r="B38" t="s">
        <v>680</v>
      </c>
      <c r="C38" s="91"/>
      <c r="D38" s="91"/>
      <c r="E38" s="91"/>
      <c r="F38" s="10"/>
    </row>
    <row r="39" spans="1:6">
      <c r="C39" s="93"/>
      <c r="D39" s="93"/>
      <c r="E39" s="93"/>
    </row>
    <row r="40" spans="1:6">
      <c r="C40" s="91">
        <f>SUM(C37:C38)</f>
        <v>0</v>
      </c>
      <c r="D40" s="91">
        <f>SUM(D37:D38)</f>
        <v>0</v>
      </c>
      <c r="E40" s="91"/>
      <c r="F40" s="10"/>
    </row>
    <row r="41" spans="1:6">
      <c r="C41" s="90"/>
      <c r="D41" s="90"/>
      <c r="E41" s="90"/>
    </row>
    <row r="42" spans="1:6">
      <c r="B42" t="s">
        <v>681</v>
      </c>
      <c r="C42" s="90"/>
      <c r="D42" s="90"/>
      <c r="E42" s="90"/>
    </row>
    <row r="43" spans="1:6">
      <c r="B43" t="s">
        <v>682</v>
      </c>
      <c r="C43" s="90">
        <v>0</v>
      </c>
      <c r="D43" s="90"/>
      <c r="E43" s="90"/>
    </row>
    <row r="44" spans="1:6">
      <c r="B44" t="s">
        <v>683</v>
      </c>
      <c r="C44" s="91">
        <v>0</v>
      </c>
      <c r="D44" s="91"/>
      <c r="E44" s="91"/>
      <c r="F44" s="10"/>
    </row>
    <row r="45" spans="1:6">
      <c r="C45" s="90"/>
      <c r="D45" s="90"/>
      <c r="E45" s="90"/>
    </row>
    <row r="46" spans="1:6">
      <c r="C46" s="91">
        <f>SUM(C43:C44)</f>
        <v>0</v>
      </c>
      <c r="D46" s="91">
        <f>SUM(D43:D44)</f>
        <v>0</v>
      </c>
      <c r="E46" s="91"/>
      <c r="F46" s="10"/>
    </row>
    <row r="47" spans="1:6">
      <c r="C47" s="90"/>
      <c r="D47" s="90"/>
      <c r="E47" s="90"/>
    </row>
    <row r="48" spans="1:6">
      <c r="B48" t="s">
        <v>684</v>
      </c>
      <c r="C48" s="91">
        <f>+C40+C46</f>
        <v>0</v>
      </c>
      <c r="D48" s="91">
        <f>+D40+D46</f>
        <v>0</v>
      </c>
      <c r="E48" s="91"/>
      <c r="F48" s="10">
        <f>+F46+F40</f>
        <v>0</v>
      </c>
    </row>
    <row r="49" spans="1:6">
      <c r="C49" s="100"/>
      <c r="D49" s="100"/>
      <c r="E49" s="100"/>
    </row>
    <row r="50" spans="1:6" ht="13.5" thickBot="1">
      <c r="A50" s="1" t="s">
        <v>685</v>
      </c>
      <c r="C50" s="101">
        <f>+C33-C48</f>
        <v>0</v>
      </c>
      <c r="D50" s="101">
        <f>+D48+D33</f>
        <v>0</v>
      </c>
      <c r="E50" s="101"/>
      <c r="F50" s="117">
        <f>+F33+F48</f>
        <v>0</v>
      </c>
    </row>
    <row r="51" spans="1:6" ht="13.5" thickTop="1">
      <c r="C51" s="90"/>
      <c r="D51" s="90"/>
      <c r="E51" s="90"/>
    </row>
  </sheetData>
  <customSheetViews>
    <customSheetView guid="{504CC784-4394-4648-B9CE-DFC32001696E}" state="hidden" showRuler="0">
      <selection activeCell="E30" sqref="E30"/>
      <pageMargins left="0" right="0" top="0" bottom="0" header="0" footer="0"/>
      <pageSetup scale="90" orientation="portrait" r:id="rId1"/>
      <headerFooter alignWithMargins="0"/>
    </customSheetView>
  </customSheetViews>
  <mergeCells count="7">
    <mergeCell ref="D7:E7"/>
    <mergeCell ref="D8:E8"/>
    <mergeCell ref="A10:B10"/>
    <mergeCell ref="A1:F1"/>
    <mergeCell ref="A2:F2"/>
    <mergeCell ref="A3:F3"/>
    <mergeCell ref="A4:F4"/>
  </mergeCells>
  <phoneticPr fontId="22" type="noConversion"/>
  <pageMargins left="0.75" right="0.75" top="1" bottom="1" header="0.5" footer="0.5"/>
  <pageSetup scale="90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4" r:id="rId5" name="Button 2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752475</xdr:colOff>
                    <xdr:row>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Button 3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19050</xdr:rowOff>
                  </from>
                  <to>
                    <xdr:col>1</xdr:col>
                    <xdr:colOff>752475</xdr:colOff>
                    <xdr:row>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79DB-899F-4240-B1F1-4F0AB3C71C1D}">
  <sheetPr codeName="Sheet13"/>
  <dimension ref="A1:H35"/>
  <sheetViews>
    <sheetView showGridLines="0" zoomScaleNormal="100" workbookViewId="0">
      <pane ySplit="5" topLeftCell="A7" activePane="bottomLeft" state="frozen"/>
      <selection pane="bottomLeft" activeCell="B11" sqref="B11"/>
      <selection activeCell="G2" sqref="G2"/>
    </sheetView>
  </sheetViews>
  <sheetFormatPr defaultRowHeight="12.75"/>
  <cols>
    <col min="1" max="1" width="36" customWidth="1"/>
    <col min="2" max="2" width="15.42578125" customWidth="1"/>
    <col min="3" max="3" width="12.7109375" bestFit="1" customWidth="1"/>
    <col min="4" max="4" width="12.28515625" customWidth="1"/>
    <col min="5" max="5" width="12.7109375" customWidth="1"/>
    <col min="6" max="6" width="10.7109375" customWidth="1"/>
    <col min="7" max="7" width="10.5703125" customWidth="1"/>
    <col min="8" max="8" width="11.28515625" bestFit="1" customWidth="1"/>
  </cols>
  <sheetData>
    <row r="1" spans="1:8">
      <c r="A1" s="264" t="str">
        <f>+'trial balance'!A1</f>
        <v>NAME OF THE TRADING PARTICIPANT</v>
      </c>
      <c r="B1" s="124"/>
      <c r="C1" s="124"/>
      <c r="D1" s="124"/>
      <c r="E1" s="124"/>
      <c r="F1" s="124" t="s">
        <v>668</v>
      </c>
    </row>
    <row r="2" spans="1:8">
      <c r="A2" s="156" t="s">
        <v>687</v>
      </c>
      <c r="B2" s="124"/>
      <c r="C2" s="124"/>
      <c r="D2" s="124"/>
      <c r="E2" s="124"/>
      <c r="F2" s="124" t="s">
        <v>668</v>
      </c>
    </row>
    <row r="3" spans="1:8">
      <c r="A3" s="156" t="s">
        <v>688</v>
      </c>
      <c r="B3" s="465"/>
      <c r="C3" s="465"/>
      <c r="D3" s="465"/>
      <c r="E3" s="465"/>
      <c r="F3" s="106"/>
      <c r="G3" s="106"/>
    </row>
    <row r="4" spans="1:8">
      <c r="A4" s="464" t="str">
        <f>'trial balance'!A3</f>
        <v>mm/dd/yyyy</v>
      </c>
      <c r="B4" s="156"/>
      <c r="C4" s="124"/>
      <c r="D4" s="124"/>
      <c r="E4" s="124"/>
    </row>
    <row r="5" spans="1:8">
      <c r="B5" s="76"/>
    </row>
    <row r="8" spans="1:8">
      <c r="A8" s="608" t="s">
        <v>689</v>
      </c>
      <c r="B8" s="608" t="s">
        <v>690</v>
      </c>
      <c r="C8" s="608" t="s">
        <v>691</v>
      </c>
      <c r="D8" s="608" t="s">
        <v>692</v>
      </c>
      <c r="E8" s="608" t="s">
        <v>693</v>
      </c>
      <c r="F8" s="273"/>
      <c r="G8" s="273"/>
    </row>
    <row r="9" spans="1:8" ht="15.75" customHeight="1">
      <c r="A9" s="72"/>
      <c r="B9" s="737">
        <v>2023</v>
      </c>
      <c r="C9" s="737">
        <v>2022</v>
      </c>
      <c r="D9" s="737">
        <v>2021</v>
      </c>
      <c r="E9" s="607"/>
    </row>
    <row r="10" spans="1:8">
      <c r="A10" s="448" t="s">
        <v>314</v>
      </c>
      <c r="B10" s="823"/>
      <c r="C10" s="295"/>
      <c r="D10" s="295"/>
      <c r="E10" s="448">
        <f>SUM(B10:D10)/3</f>
        <v>0</v>
      </c>
      <c r="H10" s="147"/>
    </row>
    <row r="11" spans="1:8">
      <c r="A11" s="449" t="s">
        <v>321</v>
      </c>
      <c r="B11" s="310"/>
      <c r="C11" s="310"/>
      <c r="D11" s="310"/>
      <c r="E11" s="449">
        <f t="shared" ref="E11:E19" si="0">SUM(B11:D11)/3</f>
        <v>0</v>
      </c>
      <c r="H11" s="147"/>
    </row>
    <row r="12" spans="1:8" ht="25.5">
      <c r="A12" s="578" t="s">
        <v>694</v>
      </c>
      <c r="B12" s="310"/>
      <c r="C12" s="310"/>
      <c r="D12" s="310"/>
      <c r="E12" s="449">
        <f t="shared" si="0"/>
        <v>0</v>
      </c>
      <c r="H12" s="147"/>
    </row>
    <row r="13" spans="1:8">
      <c r="A13" s="449" t="s">
        <v>319</v>
      </c>
      <c r="B13" s="310"/>
      <c r="C13" s="310"/>
      <c r="D13" s="310"/>
      <c r="E13" s="449">
        <f t="shared" si="0"/>
        <v>0</v>
      </c>
      <c r="H13" s="147"/>
    </row>
    <row r="14" spans="1:8">
      <c r="A14" s="449" t="s">
        <v>320</v>
      </c>
      <c r="B14" s="310"/>
      <c r="C14" s="310"/>
      <c r="D14" s="310"/>
      <c r="E14" s="449">
        <f t="shared" si="0"/>
        <v>0</v>
      </c>
      <c r="H14" s="147"/>
    </row>
    <row r="15" spans="1:8">
      <c r="A15" s="449" t="s">
        <v>556</v>
      </c>
      <c r="B15" s="310"/>
      <c r="C15" s="310"/>
      <c r="D15" s="310"/>
      <c r="E15" s="449">
        <f t="shared" si="0"/>
        <v>0</v>
      </c>
      <c r="H15" s="147"/>
    </row>
    <row r="16" spans="1:8">
      <c r="A16" s="449" t="s">
        <v>695</v>
      </c>
      <c r="B16" s="310"/>
      <c r="C16" s="310"/>
      <c r="D16" s="310"/>
      <c r="E16" s="449">
        <f t="shared" si="0"/>
        <v>0</v>
      </c>
      <c r="H16" s="147"/>
    </row>
    <row r="17" spans="1:8">
      <c r="A17" s="449" t="s">
        <v>696</v>
      </c>
      <c r="B17" s="310"/>
      <c r="C17" s="310"/>
      <c r="D17" s="310"/>
      <c r="E17" s="449">
        <f t="shared" si="0"/>
        <v>0</v>
      </c>
      <c r="H17" s="147"/>
    </row>
    <row r="18" spans="1:8">
      <c r="A18" s="449"/>
      <c r="B18" s="310"/>
      <c r="C18" s="310"/>
      <c r="D18" s="310"/>
      <c r="E18" s="449">
        <f t="shared" si="0"/>
        <v>0</v>
      </c>
    </row>
    <row r="19" spans="1:8">
      <c r="A19" s="449"/>
      <c r="B19" s="310"/>
      <c r="C19" s="310"/>
      <c r="D19" s="310"/>
      <c r="E19" s="449">
        <f t="shared" si="0"/>
        <v>0</v>
      </c>
    </row>
    <row r="20" spans="1:8">
      <c r="A20" s="274" t="s">
        <v>697</v>
      </c>
      <c r="B20" s="150">
        <f>SUM(B10:B19)</f>
        <v>0</v>
      </c>
      <c r="C20" s="150">
        <f>SUM(C10:C19)</f>
        <v>0</v>
      </c>
      <c r="D20" s="150">
        <f>SUM(D10:D19)</f>
        <v>0</v>
      </c>
      <c r="E20" s="150">
        <f>SUM(E10:E19)</f>
        <v>0</v>
      </c>
    </row>
    <row r="21" spans="1:8">
      <c r="A21" s="107" t="s">
        <v>698</v>
      </c>
      <c r="B21" s="181"/>
      <c r="C21" s="181"/>
      <c r="D21" s="181"/>
      <c r="E21" s="258">
        <f>E20</f>
        <v>0</v>
      </c>
    </row>
    <row r="22" spans="1:8">
      <c r="A22" s="107" t="s">
        <v>699</v>
      </c>
      <c r="B22" s="90"/>
      <c r="C22" s="90"/>
      <c r="D22" s="90"/>
      <c r="E22" s="116">
        <v>0.2</v>
      </c>
    </row>
    <row r="23" spans="1:8" ht="13.5" thickBot="1">
      <c r="B23" s="90"/>
      <c r="C23" s="90"/>
      <c r="D23" s="90"/>
      <c r="E23" s="90"/>
    </row>
    <row r="24" spans="1:8" ht="13.5" thickBot="1">
      <c r="A24" s="108" t="s">
        <v>700</v>
      </c>
      <c r="B24" s="114"/>
      <c r="C24" s="114"/>
      <c r="D24" s="114"/>
      <c r="E24" s="115">
        <f>E21*E22</f>
        <v>0</v>
      </c>
    </row>
    <row r="25" spans="1:8">
      <c r="A25" s="805" t="s">
        <v>701</v>
      </c>
    </row>
    <row r="26" spans="1:8">
      <c r="A26" s="805"/>
    </row>
    <row r="27" spans="1:8">
      <c r="A27" s="271" t="str">
        <f>IF(E24&gt;'Core Equity'!D19,"Core Equity is lesser than Operational Risk Requirement.  Submit Capital build up plan from time of breach.","")</f>
        <v/>
      </c>
      <c r="B27" s="621"/>
      <c r="C27" s="621"/>
      <c r="D27" s="621"/>
      <c r="E27" s="621"/>
    </row>
    <row r="29" spans="1:8">
      <c r="A29" s="76"/>
      <c r="B29" s="76"/>
      <c r="C29" s="76"/>
      <c r="D29" s="76"/>
      <c r="E29" s="76"/>
      <c r="F29" s="76"/>
      <c r="G29" s="76"/>
    </row>
    <row r="30" spans="1:8">
      <c r="A30" s="69"/>
      <c r="G30" s="81"/>
    </row>
    <row r="31" spans="1:8">
      <c r="A31" s="69"/>
      <c r="G31" s="81"/>
    </row>
    <row r="32" spans="1:8">
      <c r="A32" s="69"/>
      <c r="G32" s="81"/>
    </row>
    <row r="33" spans="1:7">
      <c r="A33" s="488"/>
      <c r="B33" s="488"/>
    </row>
    <row r="34" spans="1:7">
      <c r="A34" s="1"/>
      <c r="B34" s="1"/>
      <c r="E34" s="885"/>
      <c r="F34" s="885"/>
      <c r="G34" s="885"/>
    </row>
    <row r="35" spans="1:7">
      <c r="A35" s="885"/>
      <c r="B35" s="885"/>
      <c r="E35" s="885"/>
      <c r="F35" s="885"/>
      <c r="G35" s="885"/>
    </row>
  </sheetData>
  <sheetProtection password="9399" sheet="1" objects="1" scenarios="1"/>
  <customSheetViews>
    <customSheetView guid="{504CC784-4394-4648-B9CE-DFC32001696E}" showGridLines="0" showRuler="0">
      <pane ySplit="5" topLeftCell="A8" activePane="bottomLeft" state="frozen"/>
      <selection pane="bottomLeft" activeCell="B15" sqref="B15"/>
      <pageMargins left="0" right="0" top="0" bottom="0" header="0" footer="0"/>
      <pageSetup orientation="landscape" r:id="rId1"/>
      <headerFooter alignWithMargins="0"/>
    </customSheetView>
  </customSheetViews>
  <mergeCells count="3">
    <mergeCell ref="A35:B35"/>
    <mergeCell ref="E35:G35"/>
    <mergeCell ref="E34:G34"/>
  </mergeCells>
  <phoneticPr fontId="22" type="noConversion"/>
  <pageMargins left="0.75" right="0.75" top="1" bottom="1" header="0.5" footer="0.5"/>
  <pageSetup orientation="landscape" r:id="rId2"/>
  <headerFooter alignWithMargins="0">
    <oddFooter>&amp;CPage &amp;P of &amp;N&amp;R&amp;A</oddFooter>
  </headerFooter>
  <ignoredErrors>
    <ignoredError sqref="B20:C20 D20" formulaRange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5" name="Button 1">
              <controlPr defaultSize="0" print="0" autoFill="0" autoPict="0" macro="[0]!rbc">
                <anchor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0</xdr:col>
                    <xdr:colOff>1152525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6" name="Button 2">
              <controlPr defaultSize="0" print="0" autoFill="0" autoPict="0" macro="[0]!navigate">
                <anchor>
                  <from>
                    <xdr:col>0</xdr:col>
                    <xdr:colOff>9525</xdr:colOff>
                    <xdr:row>1</xdr:row>
                    <xdr:rowOff>57150</xdr:rowOff>
                  </from>
                  <to>
                    <xdr:col>0</xdr:col>
                    <xdr:colOff>1152525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A12D-BBE9-4B35-9CA3-83AC1291EC65}">
  <sheetPr codeName="Sheet15">
    <pageSetUpPr fitToPage="1"/>
  </sheetPr>
  <dimension ref="A1:J27"/>
  <sheetViews>
    <sheetView showGridLines="0" zoomScaleNormal="100" zoomScaleSheetLayoutView="100" workbookViewId="0">
      <selection activeCell="I14" sqref="I14"/>
    </sheetView>
  </sheetViews>
  <sheetFormatPr defaultColWidth="9.28515625" defaultRowHeight="12.75"/>
  <cols>
    <col min="1" max="1" width="5.42578125" style="146" customWidth="1"/>
    <col min="2" max="2" width="20.28515625" style="146" customWidth="1"/>
    <col min="3" max="3" width="14.5703125" style="146" customWidth="1"/>
    <col min="4" max="4" width="12.7109375" style="146" customWidth="1"/>
    <col min="5" max="5" width="18.42578125" style="146" customWidth="1"/>
    <col min="6" max="7" width="12.7109375" style="146" customWidth="1"/>
    <col min="8" max="8" width="9.28515625" style="146"/>
    <col min="9" max="9" width="10.28515625" style="146" bestFit="1" customWidth="1"/>
    <col min="10" max="16384" width="9.28515625" style="146"/>
  </cols>
  <sheetData>
    <row r="1" spans="1:10" s="156" customFormat="1">
      <c r="A1" s="264" t="str">
        <f>+'trial balance'!A1</f>
        <v>NAME OF THE TRADING PARTICIPANT</v>
      </c>
      <c r="J1" s="156" t="s">
        <v>668</v>
      </c>
    </row>
    <row r="2" spans="1:10" s="1" customFormat="1">
      <c r="A2" s="156" t="s">
        <v>702</v>
      </c>
      <c r="B2" s="119"/>
      <c r="C2" s="119"/>
      <c r="D2" s="119"/>
      <c r="E2" s="119"/>
      <c r="F2" s="119"/>
      <c r="G2" s="119"/>
      <c r="H2" s="119"/>
      <c r="I2" s="119"/>
    </row>
    <row r="3" spans="1:10" customFormat="1">
      <c r="A3" s="119" t="s">
        <v>703</v>
      </c>
      <c r="B3" s="124"/>
      <c r="C3" s="124"/>
      <c r="D3" s="124"/>
      <c r="E3" s="124"/>
      <c r="F3" s="124"/>
      <c r="G3" s="124"/>
      <c r="H3" s="124"/>
      <c r="I3" s="124"/>
    </row>
    <row r="4" spans="1:10" customFormat="1">
      <c r="A4" s="466" t="str">
        <f>+'trial balance'!A3</f>
        <v>mm/dd/yyyy</v>
      </c>
      <c r="B4" s="464"/>
      <c r="C4" s="464"/>
      <c r="D4" s="464"/>
      <c r="E4" s="464"/>
      <c r="F4" s="464"/>
      <c r="G4" s="464"/>
      <c r="H4" s="464"/>
      <c r="I4" s="464"/>
    </row>
    <row r="5" spans="1:10" customFormat="1">
      <c r="A5" s="461"/>
      <c r="B5" s="76"/>
    </row>
    <row r="6" spans="1:10" customFormat="1"/>
    <row r="7" spans="1:10" s="70" customFormat="1" ht="51">
      <c r="A7" s="77" t="s">
        <v>704</v>
      </c>
      <c r="B7" s="77" t="s">
        <v>705</v>
      </c>
      <c r="C7" s="77" t="s">
        <v>706</v>
      </c>
      <c r="D7" s="77" t="s">
        <v>707</v>
      </c>
      <c r="E7" s="77" t="s">
        <v>708</v>
      </c>
      <c r="F7" s="77" t="s">
        <v>709</v>
      </c>
      <c r="G7" s="77" t="s">
        <v>640</v>
      </c>
      <c r="H7" s="77" t="s">
        <v>641</v>
      </c>
      <c r="I7" s="77" t="s">
        <v>710</v>
      </c>
    </row>
    <row r="8" spans="1:10" s="69" customFormat="1" ht="25.5">
      <c r="A8" s="73"/>
      <c r="B8" s="73"/>
      <c r="C8" s="73"/>
      <c r="D8" s="73" t="s">
        <v>711</v>
      </c>
      <c r="E8" s="73" t="s">
        <v>712</v>
      </c>
      <c r="F8" s="74" t="s">
        <v>713</v>
      </c>
      <c r="G8" s="73" t="s">
        <v>714</v>
      </c>
      <c r="H8" s="73" t="s">
        <v>715</v>
      </c>
      <c r="I8" s="71" t="s">
        <v>716</v>
      </c>
    </row>
    <row r="9" spans="1:10" customFormat="1" ht="25.5">
      <c r="A9" s="150">
        <v>1</v>
      </c>
      <c r="B9" s="213" t="s">
        <v>717</v>
      </c>
      <c r="C9" s="738" t="s">
        <v>137</v>
      </c>
      <c r="D9" s="818">
        <f>+Receivables!C23+Receivables!C32+Receivables!C40</f>
        <v>0</v>
      </c>
      <c r="E9" s="252">
        <f>+Receivables!D23+Receivables!D32+Receivables!D40+Receivables!F23+Receivables!F32+Receivables!F40</f>
        <v>0</v>
      </c>
      <c r="F9" s="252">
        <f>+D9-E9</f>
        <v>0</v>
      </c>
      <c r="G9" s="252" t="s">
        <v>137</v>
      </c>
      <c r="H9" s="252" t="s">
        <v>137</v>
      </c>
      <c r="I9" s="252">
        <f>+Receivables!J23+Receivables!J32+Receivables!J40</f>
        <v>0</v>
      </c>
    </row>
    <row r="10" spans="1:10" customFormat="1" ht="25.5">
      <c r="A10" s="150">
        <v>2</v>
      </c>
      <c r="B10" s="186" t="s">
        <v>718</v>
      </c>
      <c r="C10" s="738" t="s">
        <v>137</v>
      </c>
      <c r="D10" s="252">
        <f>Receivables!C46</f>
        <v>0</v>
      </c>
      <c r="E10" s="252">
        <f>Receivables!D46+Receivables!F46</f>
        <v>0</v>
      </c>
      <c r="F10" s="252">
        <f>+D10-E10</f>
        <v>0</v>
      </c>
      <c r="G10" s="252" t="s">
        <v>137</v>
      </c>
      <c r="H10" s="252" t="s">
        <v>137</v>
      </c>
      <c r="I10" s="252">
        <f>Receivables!J46</f>
        <v>0</v>
      </c>
    </row>
    <row r="11" spans="1:10" customFormat="1" ht="38.25">
      <c r="A11" s="150">
        <v>3</v>
      </c>
      <c r="B11" s="186" t="s">
        <v>719</v>
      </c>
      <c r="C11" s="275"/>
      <c r="D11" s="275"/>
      <c r="E11" s="275"/>
      <c r="F11" s="252">
        <f t="shared" ref="F11:F16" si="0">+D11-E11</f>
        <v>0</v>
      </c>
      <c r="G11" s="579"/>
      <c r="H11" s="579"/>
      <c r="I11" s="252">
        <f t="shared" ref="I11:I16" si="1">+F11*G11*H11</f>
        <v>0</v>
      </c>
    </row>
    <row r="12" spans="1:10" customFormat="1">
      <c r="A12" s="150">
        <v>4</v>
      </c>
      <c r="B12" s="186" t="s">
        <v>720</v>
      </c>
      <c r="C12" s="275"/>
      <c r="D12" s="275"/>
      <c r="E12" s="275"/>
      <c r="F12" s="252">
        <f t="shared" si="0"/>
        <v>0</v>
      </c>
      <c r="G12" s="579"/>
      <c r="H12" s="579"/>
      <c r="I12" s="252">
        <f t="shared" si="1"/>
        <v>0</v>
      </c>
    </row>
    <row r="13" spans="1:10" customFormat="1" ht="38.25">
      <c r="A13" s="150">
        <v>5</v>
      </c>
      <c r="B13" s="186" t="s">
        <v>721</v>
      </c>
      <c r="C13" s="275"/>
      <c r="D13" s="275"/>
      <c r="E13" s="275"/>
      <c r="F13" s="252">
        <f t="shared" si="0"/>
        <v>0</v>
      </c>
      <c r="G13" s="579"/>
      <c r="H13" s="579"/>
      <c r="I13" s="252">
        <f t="shared" si="1"/>
        <v>0</v>
      </c>
    </row>
    <row r="14" spans="1:10" customFormat="1" ht="25.5">
      <c r="A14" s="150">
        <v>6</v>
      </c>
      <c r="B14" s="186" t="s">
        <v>722</v>
      </c>
      <c r="C14" s="275"/>
      <c r="D14" s="275"/>
      <c r="E14" s="275"/>
      <c r="F14" s="252">
        <f t="shared" si="0"/>
        <v>0</v>
      </c>
      <c r="G14" s="579"/>
      <c r="H14" s="579"/>
      <c r="I14" s="252">
        <f t="shared" si="1"/>
        <v>0</v>
      </c>
    </row>
    <row r="15" spans="1:10" customFormat="1">
      <c r="A15" s="187">
        <v>7</v>
      </c>
      <c r="B15" s="186" t="s">
        <v>723</v>
      </c>
      <c r="C15" s="275"/>
      <c r="D15" s="275"/>
      <c r="E15" s="275"/>
      <c r="F15" s="252">
        <f t="shared" si="0"/>
        <v>0</v>
      </c>
      <c r="G15" s="579"/>
      <c r="H15" s="579"/>
      <c r="I15" s="252">
        <f t="shared" si="1"/>
        <v>0</v>
      </c>
    </row>
    <row r="16" spans="1:10" customFormat="1">
      <c r="A16" s="187">
        <v>8</v>
      </c>
      <c r="B16" s="186" t="s">
        <v>723</v>
      </c>
      <c r="C16" s="275"/>
      <c r="D16" s="275"/>
      <c r="E16" s="275"/>
      <c r="F16" s="252">
        <f t="shared" si="0"/>
        <v>0</v>
      </c>
      <c r="G16" s="579"/>
      <c r="H16" s="579"/>
      <c r="I16" s="252">
        <f t="shared" si="1"/>
        <v>0</v>
      </c>
    </row>
    <row r="17" spans="1:9" customFormat="1" ht="13.5" thickBot="1">
      <c r="A17" s="214" t="s">
        <v>724</v>
      </c>
      <c r="B17" s="215"/>
      <c r="C17" s="215"/>
      <c r="D17" s="215"/>
      <c r="E17" s="215"/>
      <c r="F17" s="215"/>
      <c r="G17" s="215"/>
      <c r="H17" s="215"/>
      <c r="I17" s="429">
        <f>SUM(I9:I16)</f>
        <v>0</v>
      </c>
    </row>
    <row r="18" spans="1:9" customFormat="1" ht="13.5" thickTop="1">
      <c r="A18" s="184" t="s">
        <v>725</v>
      </c>
    </row>
    <row r="19" spans="1:9" customFormat="1"/>
    <row r="20" spans="1:9" customFormat="1">
      <c r="A20" s="76"/>
      <c r="B20" s="76"/>
      <c r="C20" s="76"/>
      <c r="D20" s="76"/>
      <c r="E20" s="76"/>
      <c r="F20" s="76"/>
    </row>
    <row r="21" spans="1:9" customFormat="1"/>
    <row r="22" spans="1:9" customFormat="1"/>
    <row r="23" spans="1:9" customFormat="1"/>
    <row r="24" spans="1:9" customFormat="1">
      <c r="A24" s="75"/>
      <c r="B24" s="75"/>
      <c r="E24" s="75"/>
      <c r="F24" s="75"/>
      <c r="G24" s="75"/>
      <c r="H24" s="75"/>
    </row>
    <row r="25" spans="1:9" customFormat="1">
      <c r="A25" s="76"/>
      <c r="B25" s="76"/>
      <c r="E25" s="76"/>
      <c r="F25" s="76"/>
      <c r="G25" s="76"/>
    </row>
    <row r="26" spans="1:9" customFormat="1">
      <c r="A26" s="76"/>
      <c r="B26" s="76"/>
      <c r="E26" s="76"/>
      <c r="F26" s="76"/>
      <c r="G26" s="1"/>
    </row>
    <row r="27" spans="1:9" customFormat="1">
      <c r="A27" s="76"/>
      <c r="B27" s="76"/>
      <c r="E27" s="76"/>
      <c r="F27" s="76"/>
      <c r="G27" s="1"/>
    </row>
  </sheetData>
  <sheetProtection password="9399" sheet="1" objects="1" scenarios="1"/>
  <customSheetViews>
    <customSheetView guid="{504CC784-4394-4648-B9CE-DFC32001696E}" showGridLines="0" fitToPage="1" showRuler="0">
      <pane xSplit="2" ySplit="7" topLeftCell="C9" activePane="bottomRight" state="frozen"/>
      <selection pane="bottomRight" activeCell="J7" sqref="J7"/>
      <pageMargins left="0" right="0" top="0" bottom="0" header="0" footer="0"/>
      <pageSetup orientation="landscape" r:id="rId1"/>
      <headerFooter alignWithMargins="0"/>
    </customSheetView>
  </customSheetViews>
  <phoneticPr fontId="22" type="noConversion"/>
  <hyperlinks>
    <hyperlink ref="B9" location="CRR!B33" display="CRR!B33" xr:uid="{1CC488A5-BDCA-4D84-B284-F697054A0C94}"/>
  </hyperlinks>
  <pageMargins left="0.75" right="0.75" top="1" bottom="1" header="0.5" footer="0.5"/>
  <pageSetup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781050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781050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9D71-F3E3-432F-A0F1-E0F6A2432689}">
  <sheetPr codeName="Sheet14">
    <pageSetUpPr fitToPage="1"/>
  </sheetPr>
  <dimension ref="A1:F227"/>
  <sheetViews>
    <sheetView showGridLines="0" zoomScaleNormal="100" workbookViewId="0">
      <selection activeCell="H7" sqref="H7"/>
    </sheetView>
  </sheetViews>
  <sheetFormatPr defaultRowHeight="12.75"/>
  <cols>
    <col min="1" max="1" width="5.42578125" style="69" customWidth="1"/>
    <col min="2" max="2" width="33" customWidth="1"/>
    <col min="3" max="3" width="20.5703125" customWidth="1"/>
    <col min="4" max="4" width="15.5703125" customWidth="1"/>
    <col min="5" max="5" width="13.42578125" style="81" customWidth="1"/>
    <col min="6" max="6" width="12.28515625" customWidth="1"/>
  </cols>
  <sheetData>
    <row r="1" spans="1:6">
      <c r="A1" s="264" t="str">
        <f>+'trial balance'!A1</f>
        <v>NAME OF THE TRADING PARTICIPANT</v>
      </c>
      <c r="B1" s="156"/>
      <c r="C1" s="156"/>
      <c r="D1" s="156"/>
      <c r="E1" s="468"/>
      <c r="F1" s="156"/>
    </row>
    <row r="2" spans="1:6">
      <c r="A2" s="156" t="s">
        <v>726</v>
      </c>
      <c r="B2" s="119"/>
      <c r="C2" s="119"/>
      <c r="D2" s="119"/>
      <c r="E2" s="119"/>
      <c r="F2" s="119"/>
    </row>
    <row r="3" spans="1:6">
      <c r="A3" s="119" t="s">
        <v>727</v>
      </c>
      <c r="B3" s="124"/>
      <c r="C3" s="124"/>
      <c r="D3" s="124"/>
      <c r="E3" s="467"/>
      <c r="F3" s="124"/>
    </row>
    <row r="4" spans="1:6">
      <c r="A4" s="464" t="str">
        <f>+'trial balance'!A3</f>
        <v>mm/dd/yyyy</v>
      </c>
      <c r="B4" s="464"/>
      <c r="C4" s="463"/>
      <c r="D4" s="463"/>
      <c r="E4" s="469"/>
      <c r="F4" s="463"/>
    </row>
    <row r="5" spans="1:6">
      <c r="A5" s="461"/>
      <c r="B5" s="461"/>
    </row>
    <row r="7" spans="1:6" ht="90" customHeight="1">
      <c r="A7" s="78" t="s">
        <v>704</v>
      </c>
      <c r="B7" s="78" t="s">
        <v>728</v>
      </c>
      <c r="C7" s="326" t="s">
        <v>729</v>
      </c>
      <c r="D7" s="78" t="s">
        <v>730</v>
      </c>
      <c r="E7" s="327" t="s">
        <v>731</v>
      </c>
      <c r="F7" s="325" t="s">
        <v>732</v>
      </c>
    </row>
    <row r="8" spans="1:6">
      <c r="A8" s="73"/>
      <c r="B8" s="191"/>
      <c r="C8" s="84"/>
      <c r="D8" s="190"/>
      <c r="E8" s="82"/>
      <c r="F8" s="188"/>
    </row>
    <row r="9" spans="1:6">
      <c r="A9" s="73"/>
      <c r="B9" s="192" t="s">
        <v>578</v>
      </c>
      <c r="C9" s="85"/>
      <c r="D9" s="150">
        <f>'MS-25%'!G6</f>
        <v>0</v>
      </c>
      <c r="E9" s="83">
        <v>0.25</v>
      </c>
      <c r="F9" s="150">
        <f>+D9*E9</f>
        <v>0</v>
      </c>
    </row>
    <row r="10" spans="1:6">
      <c r="A10" s="73"/>
      <c r="B10" s="192" t="s">
        <v>590</v>
      </c>
      <c r="C10" s="85"/>
      <c r="D10" s="150">
        <f>'MS-25%'!G7</f>
        <v>0</v>
      </c>
      <c r="E10" s="83">
        <v>0.35</v>
      </c>
      <c r="F10" s="150">
        <f t="shared" ref="F10:F21" si="0">+D10*E10</f>
        <v>0</v>
      </c>
    </row>
    <row r="11" spans="1:6" ht="25.5">
      <c r="A11" s="73"/>
      <c r="B11" s="244" t="s">
        <v>592</v>
      </c>
      <c r="C11" s="85"/>
      <c r="D11" s="272">
        <f>+'MS-25%'!G9</f>
        <v>0</v>
      </c>
      <c r="E11" s="83">
        <v>1</v>
      </c>
      <c r="F11" s="150">
        <f t="shared" si="0"/>
        <v>0</v>
      </c>
    </row>
    <row r="12" spans="1:6">
      <c r="A12" s="73"/>
      <c r="B12" s="72"/>
      <c r="C12" s="72"/>
      <c r="D12" s="150"/>
      <c r="E12" s="83"/>
      <c r="F12" s="150"/>
    </row>
    <row r="13" spans="1:6">
      <c r="A13" s="73"/>
      <c r="B13" s="80" t="s">
        <v>25</v>
      </c>
      <c r="C13" s="72"/>
      <c r="D13" s="150"/>
      <c r="E13" s="83"/>
      <c r="F13" s="150"/>
    </row>
    <row r="14" spans="1:6">
      <c r="A14" s="73"/>
      <c r="B14" s="72" t="s">
        <v>733</v>
      </c>
      <c r="C14" s="72" t="s">
        <v>734</v>
      </c>
      <c r="D14" s="275"/>
      <c r="E14" s="83">
        <v>1.2E-2</v>
      </c>
      <c r="F14" s="150">
        <f t="shared" si="0"/>
        <v>0</v>
      </c>
    </row>
    <row r="15" spans="1:6">
      <c r="A15" s="73"/>
      <c r="B15" s="72"/>
      <c r="C15" s="72" t="s">
        <v>735</v>
      </c>
      <c r="D15" s="275"/>
      <c r="E15" s="83">
        <v>3.9E-2</v>
      </c>
      <c r="F15" s="150">
        <f t="shared" si="0"/>
        <v>0</v>
      </c>
    </row>
    <row r="16" spans="1:6">
      <c r="A16" s="73"/>
      <c r="B16" s="72"/>
      <c r="C16" s="72" t="s">
        <v>736</v>
      </c>
      <c r="D16" s="275"/>
      <c r="E16" s="83">
        <v>5.2999999999999999E-2</v>
      </c>
      <c r="F16" s="150">
        <f t="shared" si="0"/>
        <v>0</v>
      </c>
    </row>
    <row r="17" spans="1:6">
      <c r="A17" s="73"/>
      <c r="B17" s="72"/>
      <c r="C17" s="72" t="s">
        <v>737</v>
      </c>
      <c r="D17" s="275"/>
      <c r="E17" s="83">
        <v>7.5999999999999998E-2</v>
      </c>
      <c r="F17" s="150">
        <f t="shared" si="0"/>
        <v>0</v>
      </c>
    </row>
    <row r="18" spans="1:6">
      <c r="A18" s="73"/>
      <c r="B18" s="72"/>
      <c r="C18" s="72" t="s">
        <v>738</v>
      </c>
      <c r="D18" s="275"/>
      <c r="E18" s="83">
        <v>0.1</v>
      </c>
      <c r="F18" s="150">
        <f t="shared" si="0"/>
        <v>0</v>
      </c>
    </row>
    <row r="19" spans="1:6">
      <c r="A19" s="73"/>
      <c r="B19" s="72" t="s">
        <v>739</v>
      </c>
      <c r="C19" s="72"/>
      <c r="D19" s="275"/>
      <c r="E19" s="83">
        <v>1</v>
      </c>
      <c r="F19" s="150">
        <f t="shared" si="0"/>
        <v>0</v>
      </c>
    </row>
    <row r="20" spans="1:6">
      <c r="A20" s="73"/>
      <c r="B20" s="72"/>
      <c r="C20" s="72"/>
      <c r="D20" s="559"/>
      <c r="E20" s="83"/>
      <c r="F20" s="150"/>
    </row>
    <row r="21" spans="1:6">
      <c r="A21" s="73"/>
      <c r="B21" s="80" t="s">
        <v>740</v>
      </c>
      <c r="C21" s="72"/>
      <c r="D21" s="275"/>
      <c r="E21" s="83">
        <v>0.08</v>
      </c>
      <c r="F21" s="150">
        <f t="shared" si="0"/>
        <v>0</v>
      </c>
    </row>
    <row r="22" spans="1:6">
      <c r="A22" s="73"/>
      <c r="B22" s="72"/>
      <c r="C22" s="72"/>
      <c r="D22" s="72"/>
      <c r="E22" s="83"/>
      <c r="F22" s="150"/>
    </row>
    <row r="23" spans="1:6">
      <c r="A23" s="886" t="s">
        <v>741</v>
      </c>
      <c r="B23" s="886"/>
      <c r="C23" s="886"/>
      <c r="D23" s="886"/>
      <c r="E23" s="886"/>
      <c r="F23" s="189">
        <f>SUM(F9:F22)</f>
        <v>0</v>
      </c>
    </row>
    <row r="29" spans="1:6">
      <c r="A29" s="560"/>
      <c r="B29" s="146"/>
      <c r="C29" s="146"/>
      <c r="D29" s="146"/>
      <c r="E29" s="561"/>
      <c r="F29" s="146"/>
    </row>
    <row r="30" spans="1:6">
      <c r="A30" s="560"/>
      <c r="B30" s="146"/>
      <c r="C30" s="146"/>
      <c r="D30" s="146"/>
      <c r="E30" s="561"/>
      <c r="F30" s="146"/>
    </row>
    <row r="31" spans="1:6">
      <c r="A31" s="560"/>
      <c r="B31" s="146"/>
      <c r="C31" s="146"/>
      <c r="D31" s="146"/>
      <c r="E31" s="561"/>
      <c r="F31" s="146"/>
    </row>
    <row r="32" spans="1:6">
      <c r="A32" s="560"/>
      <c r="B32" s="146"/>
      <c r="C32" s="146"/>
      <c r="D32" s="146"/>
      <c r="E32" s="561"/>
      <c r="F32" s="146"/>
    </row>
    <row r="33" spans="1:6">
      <c r="A33" s="560"/>
      <c r="B33" s="146"/>
      <c r="C33" s="146"/>
      <c r="D33" s="146"/>
      <c r="E33" s="561"/>
      <c r="F33" s="146"/>
    </row>
    <row r="34" spans="1:6">
      <c r="A34" s="560"/>
      <c r="B34" s="146"/>
      <c r="C34" s="146"/>
      <c r="D34" s="146"/>
      <c r="E34" s="561"/>
      <c r="F34" s="146"/>
    </row>
    <row r="35" spans="1:6">
      <c r="A35" s="560"/>
      <c r="B35" s="146"/>
      <c r="C35" s="146"/>
      <c r="D35" s="146"/>
      <c r="E35" s="561"/>
      <c r="F35" s="146"/>
    </row>
    <row r="36" spans="1:6">
      <c r="A36" s="560"/>
      <c r="B36" s="146"/>
      <c r="C36" s="146"/>
      <c r="D36" s="146"/>
      <c r="E36" s="561"/>
      <c r="F36" s="146"/>
    </row>
    <row r="37" spans="1:6">
      <c r="A37" s="560"/>
      <c r="B37" s="146"/>
      <c r="C37" s="146"/>
      <c r="D37" s="146"/>
      <c r="E37" s="561"/>
      <c r="F37" s="146"/>
    </row>
    <row r="38" spans="1:6">
      <c r="A38" s="560"/>
      <c r="B38" s="146"/>
      <c r="C38" s="146"/>
      <c r="D38" s="146"/>
      <c r="E38" s="561"/>
      <c r="F38" s="146"/>
    </row>
    <row r="39" spans="1:6">
      <c r="A39" s="560"/>
      <c r="B39" s="146"/>
      <c r="C39" s="146"/>
      <c r="D39" s="146"/>
      <c r="E39" s="561"/>
      <c r="F39" s="146"/>
    </row>
    <row r="40" spans="1:6">
      <c r="A40" s="560"/>
      <c r="B40" s="146"/>
      <c r="C40" s="146"/>
      <c r="D40" s="146"/>
      <c r="E40" s="561"/>
      <c r="F40" s="146"/>
    </row>
    <row r="41" spans="1:6">
      <c r="A41" s="560"/>
      <c r="B41" s="146"/>
      <c r="C41" s="146"/>
      <c r="D41" s="146"/>
      <c r="E41" s="561"/>
      <c r="F41" s="146"/>
    </row>
    <row r="42" spans="1:6">
      <c r="A42" s="560"/>
      <c r="B42" s="146"/>
      <c r="C42" s="146"/>
      <c r="D42" s="146"/>
      <c r="E42" s="561"/>
      <c r="F42" s="146"/>
    </row>
    <row r="43" spans="1:6">
      <c r="A43" s="560"/>
      <c r="B43" s="146"/>
      <c r="C43" s="146"/>
      <c r="D43" s="146"/>
      <c r="E43" s="561"/>
      <c r="F43" s="146"/>
    </row>
    <row r="44" spans="1:6">
      <c r="A44" s="560"/>
      <c r="B44" s="146"/>
      <c r="C44" s="146"/>
      <c r="D44" s="146"/>
      <c r="E44" s="561"/>
      <c r="F44" s="146"/>
    </row>
    <row r="45" spans="1:6">
      <c r="A45" s="560"/>
      <c r="B45" s="146"/>
      <c r="C45" s="146"/>
      <c r="D45" s="146"/>
      <c r="E45" s="561"/>
      <c r="F45" s="146"/>
    </row>
    <row r="46" spans="1:6">
      <c r="A46" s="560"/>
      <c r="B46" s="146"/>
      <c r="C46" s="146"/>
      <c r="D46" s="146"/>
      <c r="E46" s="561"/>
      <c r="F46" s="146"/>
    </row>
    <row r="47" spans="1:6">
      <c r="A47" s="560"/>
      <c r="B47" s="146"/>
      <c r="C47" s="146"/>
      <c r="D47" s="146"/>
      <c r="E47" s="561"/>
      <c r="F47" s="146"/>
    </row>
    <row r="48" spans="1:6">
      <c r="A48" s="560"/>
      <c r="B48" s="146"/>
      <c r="C48" s="146"/>
      <c r="D48" s="146"/>
      <c r="E48" s="561"/>
      <c r="F48" s="146"/>
    </row>
    <row r="49" spans="1:6">
      <c r="A49" s="560"/>
      <c r="B49" s="146"/>
      <c r="C49" s="146"/>
      <c r="D49" s="146"/>
      <c r="E49" s="561"/>
      <c r="F49" s="146"/>
    </row>
    <row r="50" spans="1:6">
      <c r="A50" s="560"/>
      <c r="B50" s="146"/>
      <c r="C50" s="146"/>
      <c r="D50" s="146"/>
      <c r="E50" s="561"/>
      <c r="F50" s="146"/>
    </row>
    <row r="51" spans="1:6">
      <c r="A51" s="560"/>
      <c r="B51" s="146"/>
      <c r="C51" s="146"/>
      <c r="D51" s="146"/>
      <c r="E51" s="561"/>
      <c r="F51" s="146"/>
    </row>
    <row r="52" spans="1:6">
      <c r="A52" s="560"/>
      <c r="B52" s="146"/>
      <c r="C52" s="146"/>
      <c r="D52" s="146"/>
      <c r="E52" s="561"/>
      <c r="F52" s="146"/>
    </row>
    <row r="53" spans="1:6">
      <c r="A53" s="560"/>
      <c r="B53" s="146"/>
      <c r="C53" s="146"/>
      <c r="D53" s="146"/>
      <c r="E53" s="561"/>
      <c r="F53" s="146"/>
    </row>
    <row r="54" spans="1:6">
      <c r="A54" s="560"/>
      <c r="B54" s="146"/>
      <c r="C54" s="146"/>
      <c r="D54" s="146"/>
      <c r="E54" s="561"/>
      <c r="F54" s="146"/>
    </row>
    <row r="55" spans="1:6">
      <c r="A55" s="560"/>
      <c r="B55" s="146"/>
      <c r="C55" s="146"/>
      <c r="D55" s="146"/>
      <c r="E55" s="561"/>
      <c r="F55" s="146"/>
    </row>
    <row r="56" spans="1:6">
      <c r="A56" s="560"/>
      <c r="B56" s="146"/>
      <c r="C56" s="146"/>
      <c r="D56" s="146"/>
      <c r="E56" s="561"/>
      <c r="F56" s="146"/>
    </row>
    <row r="57" spans="1:6">
      <c r="A57" s="560"/>
      <c r="B57" s="146"/>
      <c r="C57" s="146"/>
      <c r="D57" s="146"/>
      <c r="E57" s="561"/>
      <c r="F57" s="146"/>
    </row>
    <row r="58" spans="1:6">
      <c r="A58" s="560"/>
      <c r="B58" s="146"/>
      <c r="C58" s="146"/>
      <c r="D58" s="146"/>
      <c r="E58" s="561"/>
      <c r="F58" s="146"/>
    </row>
    <row r="59" spans="1:6">
      <c r="A59" s="560"/>
      <c r="B59" s="146"/>
      <c r="C59" s="146"/>
      <c r="D59" s="146"/>
      <c r="E59" s="561"/>
      <c r="F59" s="146"/>
    </row>
    <row r="60" spans="1:6">
      <c r="A60" s="560"/>
      <c r="B60" s="146"/>
      <c r="C60" s="146"/>
      <c r="D60" s="146"/>
      <c r="E60" s="561"/>
      <c r="F60" s="146"/>
    </row>
    <row r="61" spans="1:6">
      <c r="A61" s="560"/>
      <c r="B61" s="146"/>
      <c r="C61" s="146"/>
      <c r="D61" s="146"/>
      <c r="E61" s="561"/>
      <c r="F61" s="146"/>
    </row>
    <row r="62" spans="1:6">
      <c r="A62" s="560"/>
      <c r="B62" s="146"/>
      <c r="C62" s="146"/>
      <c r="D62" s="146"/>
      <c r="E62" s="561"/>
      <c r="F62" s="146"/>
    </row>
    <row r="63" spans="1:6">
      <c r="A63" s="560"/>
      <c r="B63" s="146"/>
      <c r="C63" s="146"/>
      <c r="D63" s="146"/>
      <c r="E63" s="561"/>
      <c r="F63" s="146"/>
    </row>
    <row r="64" spans="1:6">
      <c r="A64" s="560"/>
      <c r="B64" s="146"/>
      <c r="C64" s="146"/>
      <c r="D64" s="146"/>
      <c r="E64" s="561"/>
      <c r="F64" s="146"/>
    </row>
    <row r="65" spans="1:6">
      <c r="A65" s="560"/>
      <c r="B65" s="146"/>
      <c r="C65" s="146"/>
      <c r="D65" s="146"/>
      <c r="E65" s="561"/>
      <c r="F65" s="146"/>
    </row>
    <row r="66" spans="1:6">
      <c r="A66" s="560"/>
      <c r="B66" s="146"/>
      <c r="C66" s="146"/>
      <c r="D66" s="146"/>
      <c r="E66" s="561"/>
      <c r="F66" s="146"/>
    </row>
    <row r="67" spans="1:6">
      <c r="A67" s="560"/>
      <c r="B67" s="146"/>
      <c r="C67" s="146"/>
      <c r="D67" s="146"/>
      <c r="E67" s="561"/>
      <c r="F67" s="146"/>
    </row>
    <row r="68" spans="1:6">
      <c r="A68" s="560"/>
      <c r="B68" s="146"/>
      <c r="C68" s="146"/>
      <c r="D68" s="146"/>
      <c r="E68" s="561"/>
      <c r="F68" s="146"/>
    </row>
    <row r="69" spans="1:6">
      <c r="A69" s="560"/>
      <c r="B69" s="146"/>
      <c r="C69" s="146"/>
      <c r="D69" s="146"/>
      <c r="E69" s="561"/>
      <c r="F69" s="146"/>
    </row>
    <row r="70" spans="1:6">
      <c r="A70" s="560"/>
      <c r="B70" s="146"/>
      <c r="C70" s="146"/>
      <c r="D70" s="146"/>
      <c r="E70" s="561"/>
      <c r="F70" s="146"/>
    </row>
    <row r="71" spans="1:6">
      <c r="A71" s="560"/>
      <c r="B71" s="146"/>
      <c r="C71" s="146"/>
      <c r="D71" s="146"/>
      <c r="E71" s="561"/>
      <c r="F71" s="146"/>
    </row>
    <row r="72" spans="1:6">
      <c r="A72" s="560"/>
      <c r="B72" s="146"/>
      <c r="C72" s="146"/>
      <c r="D72" s="146"/>
      <c r="E72" s="561"/>
      <c r="F72" s="146"/>
    </row>
    <row r="73" spans="1:6">
      <c r="A73" s="560"/>
      <c r="B73" s="146"/>
      <c r="C73" s="146"/>
      <c r="D73" s="146"/>
      <c r="E73" s="561"/>
      <c r="F73" s="146"/>
    </row>
    <row r="74" spans="1:6">
      <c r="A74" s="560"/>
      <c r="B74" s="146"/>
      <c r="C74" s="146"/>
      <c r="D74" s="146"/>
      <c r="E74" s="561"/>
      <c r="F74" s="146"/>
    </row>
    <row r="75" spans="1:6">
      <c r="A75" s="560"/>
      <c r="B75" s="146"/>
      <c r="C75" s="146"/>
      <c r="D75" s="146"/>
      <c r="E75" s="561"/>
      <c r="F75" s="146"/>
    </row>
    <row r="76" spans="1:6">
      <c r="A76" s="560"/>
      <c r="B76" s="146"/>
      <c r="C76" s="146"/>
      <c r="D76" s="146"/>
      <c r="E76" s="561"/>
      <c r="F76" s="146"/>
    </row>
    <row r="77" spans="1:6">
      <c r="A77" s="560"/>
      <c r="B77" s="146"/>
      <c r="C77" s="146"/>
      <c r="D77" s="146"/>
      <c r="E77" s="561"/>
      <c r="F77" s="146"/>
    </row>
    <row r="78" spans="1:6">
      <c r="A78" s="560"/>
      <c r="B78" s="146"/>
      <c r="C78" s="146"/>
      <c r="D78" s="146"/>
      <c r="E78" s="561"/>
      <c r="F78" s="146"/>
    </row>
    <row r="79" spans="1:6">
      <c r="A79" s="560"/>
      <c r="B79" s="146"/>
      <c r="C79" s="146"/>
      <c r="D79" s="146"/>
      <c r="E79" s="561"/>
      <c r="F79" s="146"/>
    </row>
    <row r="80" spans="1:6">
      <c r="A80" s="560"/>
      <c r="B80" s="146"/>
      <c r="C80" s="146"/>
      <c r="D80" s="146"/>
      <c r="E80" s="561"/>
      <c r="F80" s="146"/>
    </row>
    <row r="81" spans="1:6">
      <c r="A81" s="560"/>
      <c r="B81" s="146"/>
      <c r="C81" s="146"/>
      <c r="D81" s="146"/>
      <c r="E81" s="561"/>
      <c r="F81" s="146"/>
    </row>
    <row r="82" spans="1:6">
      <c r="A82" s="560"/>
      <c r="B82" s="146"/>
      <c r="C82" s="146"/>
      <c r="D82" s="146"/>
      <c r="E82" s="561"/>
      <c r="F82" s="146"/>
    </row>
    <row r="83" spans="1:6">
      <c r="A83" s="560"/>
      <c r="B83" s="146"/>
      <c r="C83" s="146"/>
      <c r="D83" s="146"/>
      <c r="E83" s="561"/>
      <c r="F83" s="146"/>
    </row>
    <row r="84" spans="1:6">
      <c r="A84" s="560"/>
      <c r="B84" s="146"/>
      <c r="C84" s="146"/>
      <c r="D84" s="146"/>
      <c r="E84" s="561"/>
      <c r="F84" s="146"/>
    </row>
    <row r="85" spans="1:6">
      <c r="A85" s="560"/>
      <c r="B85" s="146"/>
      <c r="C85" s="146"/>
      <c r="D85" s="146"/>
      <c r="E85" s="561"/>
      <c r="F85" s="146"/>
    </row>
    <row r="86" spans="1:6">
      <c r="A86" s="560"/>
      <c r="B86" s="146"/>
      <c r="C86" s="146"/>
      <c r="D86" s="146"/>
      <c r="E86" s="561"/>
      <c r="F86" s="146"/>
    </row>
    <row r="87" spans="1:6">
      <c r="A87" s="560"/>
      <c r="B87" s="146"/>
      <c r="C87" s="146"/>
      <c r="D87" s="146"/>
      <c r="E87" s="561"/>
      <c r="F87" s="146"/>
    </row>
    <row r="88" spans="1:6">
      <c r="A88" s="560"/>
      <c r="B88" s="146"/>
      <c r="C88" s="146"/>
      <c r="D88" s="146"/>
      <c r="E88" s="561"/>
      <c r="F88" s="146"/>
    </row>
    <row r="89" spans="1:6">
      <c r="A89" s="560"/>
      <c r="B89" s="146"/>
      <c r="C89" s="146"/>
      <c r="D89" s="146"/>
      <c r="E89" s="561"/>
      <c r="F89" s="146"/>
    </row>
    <row r="90" spans="1:6">
      <c r="A90" s="560"/>
      <c r="B90" s="146"/>
      <c r="C90" s="146"/>
      <c r="D90" s="146"/>
      <c r="E90" s="561"/>
      <c r="F90" s="146"/>
    </row>
    <row r="91" spans="1:6">
      <c r="A91" s="560"/>
      <c r="B91" s="146"/>
      <c r="C91" s="146"/>
      <c r="D91" s="146"/>
      <c r="E91" s="561"/>
      <c r="F91" s="146"/>
    </row>
    <row r="92" spans="1:6">
      <c r="A92" s="560"/>
      <c r="B92" s="146"/>
      <c r="C92" s="146"/>
      <c r="D92" s="146"/>
      <c r="E92" s="561"/>
      <c r="F92" s="146"/>
    </row>
    <row r="93" spans="1:6">
      <c r="A93" s="560"/>
      <c r="B93" s="146"/>
      <c r="C93" s="146"/>
      <c r="D93" s="146"/>
      <c r="E93" s="561"/>
      <c r="F93" s="146"/>
    </row>
    <row r="94" spans="1:6">
      <c r="A94" s="560"/>
      <c r="B94" s="146"/>
      <c r="C94" s="146"/>
      <c r="D94" s="146"/>
      <c r="E94" s="561"/>
      <c r="F94" s="146"/>
    </row>
    <row r="95" spans="1:6">
      <c r="A95" s="560"/>
      <c r="B95" s="146"/>
      <c r="C95" s="146"/>
      <c r="D95" s="146"/>
      <c r="E95" s="561"/>
      <c r="F95" s="146"/>
    </row>
    <row r="96" spans="1:6">
      <c r="A96" s="560"/>
      <c r="B96" s="146"/>
      <c r="C96" s="146"/>
      <c r="D96" s="146"/>
      <c r="E96" s="561"/>
      <c r="F96" s="146"/>
    </row>
    <row r="97" spans="1:6">
      <c r="A97" s="560"/>
      <c r="B97" s="146"/>
      <c r="C97" s="146"/>
      <c r="D97" s="146"/>
      <c r="E97" s="561"/>
      <c r="F97" s="146"/>
    </row>
    <row r="98" spans="1:6">
      <c r="A98" s="560"/>
      <c r="B98" s="146"/>
      <c r="C98" s="146"/>
      <c r="D98" s="146"/>
      <c r="E98" s="561"/>
      <c r="F98" s="146"/>
    </row>
    <row r="99" spans="1:6">
      <c r="A99" s="560"/>
      <c r="B99" s="146"/>
      <c r="C99" s="146"/>
      <c r="D99" s="146"/>
      <c r="E99" s="561"/>
      <c r="F99" s="146"/>
    </row>
    <row r="100" spans="1:6">
      <c r="A100" s="560"/>
      <c r="B100" s="146"/>
      <c r="C100" s="146"/>
      <c r="D100" s="146"/>
      <c r="E100" s="561"/>
      <c r="F100" s="146"/>
    </row>
    <row r="101" spans="1:6">
      <c r="A101" s="560"/>
      <c r="B101" s="146"/>
      <c r="C101" s="146"/>
      <c r="D101" s="146"/>
      <c r="E101" s="561"/>
      <c r="F101" s="146"/>
    </row>
    <row r="102" spans="1:6">
      <c r="A102" s="560"/>
      <c r="B102" s="146"/>
      <c r="C102" s="146"/>
      <c r="D102" s="146"/>
      <c r="E102" s="561"/>
      <c r="F102" s="146"/>
    </row>
    <row r="103" spans="1:6">
      <c r="A103" s="560"/>
      <c r="B103" s="146"/>
      <c r="C103" s="146"/>
      <c r="D103" s="146"/>
      <c r="E103" s="561"/>
      <c r="F103" s="146"/>
    </row>
    <row r="104" spans="1:6">
      <c r="A104" s="560"/>
      <c r="B104" s="146"/>
      <c r="C104" s="146"/>
      <c r="D104" s="146"/>
      <c r="E104" s="561"/>
      <c r="F104" s="146"/>
    </row>
    <row r="105" spans="1:6">
      <c r="A105" s="560"/>
      <c r="B105" s="146"/>
      <c r="C105" s="146"/>
      <c r="D105" s="146"/>
      <c r="E105" s="561"/>
      <c r="F105" s="146"/>
    </row>
    <row r="106" spans="1:6">
      <c r="A106" s="560"/>
      <c r="B106" s="146"/>
      <c r="C106" s="146"/>
      <c r="D106" s="146"/>
      <c r="E106" s="561"/>
      <c r="F106" s="146"/>
    </row>
    <row r="107" spans="1:6">
      <c r="A107" s="560"/>
      <c r="B107" s="146"/>
      <c r="C107" s="146"/>
      <c r="D107" s="146"/>
      <c r="E107" s="561"/>
      <c r="F107" s="146"/>
    </row>
    <row r="108" spans="1:6">
      <c r="A108" s="560"/>
      <c r="B108" s="146"/>
      <c r="C108" s="146"/>
      <c r="D108" s="146"/>
      <c r="E108" s="561"/>
      <c r="F108" s="146"/>
    </row>
    <row r="109" spans="1:6">
      <c r="A109" s="560"/>
      <c r="B109" s="146"/>
      <c r="C109" s="146"/>
      <c r="D109" s="146"/>
      <c r="E109" s="561"/>
      <c r="F109" s="146"/>
    </row>
    <row r="110" spans="1:6">
      <c r="A110" s="560"/>
      <c r="B110" s="146"/>
      <c r="C110" s="146"/>
      <c r="D110" s="146"/>
      <c r="E110" s="561"/>
      <c r="F110" s="146"/>
    </row>
    <row r="111" spans="1:6">
      <c r="A111" s="560"/>
      <c r="B111" s="146"/>
      <c r="C111" s="146"/>
      <c r="D111" s="146"/>
      <c r="E111" s="561"/>
      <c r="F111" s="146"/>
    </row>
    <row r="112" spans="1:6">
      <c r="A112" s="560"/>
      <c r="B112" s="146"/>
      <c r="C112" s="146"/>
      <c r="D112" s="146"/>
      <c r="E112" s="561"/>
      <c r="F112" s="146"/>
    </row>
    <row r="113" spans="1:6">
      <c r="A113" s="560"/>
      <c r="B113" s="146"/>
      <c r="C113" s="146"/>
      <c r="D113" s="146"/>
      <c r="E113" s="561"/>
      <c r="F113" s="146"/>
    </row>
    <row r="114" spans="1:6">
      <c r="A114" s="560"/>
      <c r="B114" s="146"/>
      <c r="C114" s="146"/>
      <c r="D114" s="146"/>
      <c r="E114" s="561"/>
      <c r="F114" s="146"/>
    </row>
    <row r="115" spans="1:6">
      <c r="A115" s="560"/>
      <c r="B115" s="146"/>
      <c r="C115" s="146"/>
      <c r="D115" s="146"/>
      <c r="E115" s="561"/>
      <c r="F115" s="146"/>
    </row>
    <row r="116" spans="1:6">
      <c r="A116" s="560"/>
      <c r="B116" s="146"/>
      <c r="C116" s="146"/>
      <c r="D116" s="146"/>
      <c r="E116" s="561"/>
      <c r="F116" s="146"/>
    </row>
    <row r="117" spans="1:6">
      <c r="A117" s="560"/>
      <c r="B117" s="146"/>
      <c r="C117" s="146"/>
      <c r="D117" s="146"/>
      <c r="E117" s="561"/>
      <c r="F117" s="146"/>
    </row>
    <row r="118" spans="1:6">
      <c r="A118" s="560"/>
      <c r="B118" s="146"/>
      <c r="C118" s="146"/>
      <c r="D118" s="146"/>
      <c r="E118" s="561"/>
      <c r="F118" s="146"/>
    </row>
    <row r="119" spans="1:6">
      <c r="A119" s="560"/>
      <c r="B119" s="146"/>
      <c r="C119" s="146"/>
      <c r="D119" s="146"/>
      <c r="E119" s="561"/>
      <c r="F119" s="146"/>
    </row>
    <row r="120" spans="1:6">
      <c r="A120" s="560"/>
      <c r="B120" s="146"/>
      <c r="C120" s="146"/>
      <c r="D120" s="146"/>
      <c r="E120" s="561"/>
      <c r="F120" s="146"/>
    </row>
    <row r="121" spans="1:6">
      <c r="A121" s="560"/>
      <c r="B121" s="146"/>
      <c r="C121" s="146"/>
      <c r="D121" s="146"/>
      <c r="E121" s="561"/>
      <c r="F121" s="146"/>
    </row>
    <row r="122" spans="1:6">
      <c r="A122" s="560"/>
      <c r="B122" s="146"/>
      <c r="C122" s="146"/>
      <c r="D122" s="146"/>
      <c r="E122" s="561"/>
      <c r="F122" s="146"/>
    </row>
    <row r="123" spans="1:6">
      <c r="A123" s="560"/>
      <c r="B123" s="146"/>
      <c r="C123" s="146"/>
      <c r="D123" s="146"/>
      <c r="E123" s="561"/>
      <c r="F123" s="146"/>
    </row>
    <row r="124" spans="1:6">
      <c r="A124" s="560"/>
      <c r="B124" s="146"/>
      <c r="C124" s="146"/>
      <c r="D124" s="146"/>
      <c r="E124" s="561"/>
      <c r="F124" s="146"/>
    </row>
    <row r="125" spans="1:6">
      <c r="A125" s="560"/>
      <c r="B125" s="146"/>
      <c r="C125" s="146"/>
      <c r="D125" s="146"/>
      <c r="E125" s="561"/>
      <c r="F125" s="146"/>
    </row>
    <row r="126" spans="1:6">
      <c r="A126" s="560"/>
      <c r="B126" s="146"/>
      <c r="C126" s="146"/>
      <c r="D126" s="146"/>
      <c r="E126" s="561"/>
      <c r="F126" s="146"/>
    </row>
    <row r="127" spans="1:6">
      <c r="A127" s="560"/>
      <c r="B127" s="146"/>
      <c r="C127" s="146"/>
      <c r="D127" s="146"/>
      <c r="E127" s="561"/>
      <c r="F127" s="146"/>
    </row>
    <row r="128" spans="1:6">
      <c r="A128" s="560"/>
      <c r="B128" s="146"/>
      <c r="C128" s="146"/>
      <c r="D128" s="146"/>
      <c r="E128" s="561"/>
      <c r="F128" s="146"/>
    </row>
    <row r="129" spans="1:6">
      <c r="A129" s="560"/>
      <c r="B129" s="146"/>
      <c r="C129" s="146"/>
      <c r="D129" s="146"/>
      <c r="E129" s="561"/>
      <c r="F129" s="146"/>
    </row>
    <row r="130" spans="1:6">
      <c r="A130" s="560"/>
      <c r="B130" s="146"/>
      <c r="C130" s="146"/>
      <c r="D130" s="146"/>
      <c r="E130" s="561"/>
      <c r="F130" s="146"/>
    </row>
    <row r="131" spans="1:6">
      <c r="A131" s="560"/>
      <c r="B131" s="146"/>
      <c r="C131" s="146"/>
      <c r="D131" s="146"/>
      <c r="E131" s="561"/>
      <c r="F131" s="146"/>
    </row>
    <row r="132" spans="1:6">
      <c r="A132" s="560"/>
      <c r="B132" s="146"/>
      <c r="C132" s="146"/>
      <c r="D132" s="146"/>
      <c r="E132" s="561"/>
      <c r="F132" s="146"/>
    </row>
    <row r="133" spans="1:6">
      <c r="A133" s="560"/>
      <c r="B133" s="146"/>
      <c r="C133" s="146"/>
      <c r="D133" s="146"/>
      <c r="E133" s="561"/>
      <c r="F133" s="146"/>
    </row>
    <row r="134" spans="1:6">
      <c r="A134" s="560"/>
      <c r="B134" s="146"/>
      <c r="C134" s="146"/>
      <c r="D134" s="146"/>
      <c r="E134" s="561"/>
      <c r="F134" s="146"/>
    </row>
    <row r="135" spans="1:6">
      <c r="A135" s="560"/>
      <c r="B135" s="146"/>
      <c r="C135" s="146"/>
      <c r="D135" s="146"/>
      <c r="E135" s="561"/>
      <c r="F135" s="146"/>
    </row>
    <row r="136" spans="1:6">
      <c r="A136" s="560"/>
      <c r="B136" s="146"/>
      <c r="C136" s="146"/>
      <c r="D136" s="146"/>
      <c r="E136" s="561"/>
      <c r="F136" s="146"/>
    </row>
    <row r="137" spans="1:6">
      <c r="A137" s="560"/>
      <c r="B137" s="146"/>
      <c r="C137" s="146"/>
      <c r="D137" s="146"/>
      <c r="E137" s="561"/>
      <c r="F137" s="146"/>
    </row>
    <row r="138" spans="1:6">
      <c r="A138" s="560"/>
      <c r="B138" s="146"/>
      <c r="C138" s="146"/>
      <c r="D138" s="146"/>
      <c r="E138" s="561"/>
      <c r="F138" s="146"/>
    </row>
    <row r="139" spans="1:6">
      <c r="A139" s="560"/>
      <c r="B139" s="146"/>
      <c r="C139" s="146"/>
      <c r="D139" s="146"/>
      <c r="E139" s="561"/>
      <c r="F139" s="146"/>
    </row>
    <row r="140" spans="1:6">
      <c r="A140" s="560"/>
      <c r="B140" s="146"/>
      <c r="C140" s="146"/>
      <c r="D140" s="146"/>
      <c r="E140" s="561"/>
      <c r="F140" s="146"/>
    </row>
    <row r="141" spans="1:6">
      <c r="A141" s="560"/>
      <c r="B141" s="146"/>
      <c r="C141" s="146"/>
      <c r="D141" s="146"/>
      <c r="E141" s="561"/>
      <c r="F141" s="146"/>
    </row>
    <row r="142" spans="1:6">
      <c r="A142" s="560"/>
      <c r="B142" s="146"/>
      <c r="C142" s="146"/>
      <c r="D142" s="146"/>
      <c r="E142" s="561"/>
      <c r="F142" s="146"/>
    </row>
    <row r="143" spans="1:6">
      <c r="A143" s="560"/>
      <c r="B143" s="146"/>
      <c r="C143" s="146"/>
      <c r="D143" s="146"/>
      <c r="E143" s="561"/>
      <c r="F143" s="146"/>
    </row>
    <row r="144" spans="1:6">
      <c r="A144" s="560"/>
      <c r="B144" s="146"/>
      <c r="C144" s="146"/>
      <c r="D144" s="146"/>
      <c r="E144" s="561"/>
      <c r="F144" s="146"/>
    </row>
    <row r="145" spans="1:6">
      <c r="A145" s="560"/>
      <c r="B145" s="146"/>
      <c r="C145" s="146"/>
      <c r="D145" s="146"/>
      <c r="E145" s="561"/>
      <c r="F145" s="146"/>
    </row>
    <row r="146" spans="1:6">
      <c r="A146" s="560"/>
      <c r="B146" s="146"/>
      <c r="C146" s="146"/>
      <c r="D146" s="146"/>
      <c r="E146" s="561"/>
      <c r="F146" s="146"/>
    </row>
    <row r="147" spans="1:6">
      <c r="A147" s="560"/>
      <c r="B147" s="146"/>
      <c r="C147" s="146"/>
      <c r="D147" s="146"/>
      <c r="E147" s="561"/>
      <c r="F147" s="146"/>
    </row>
    <row r="148" spans="1:6">
      <c r="A148" s="560"/>
      <c r="B148" s="146"/>
      <c r="C148" s="146"/>
      <c r="D148" s="146"/>
      <c r="E148" s="561"/>
      <c r="F148" s="146"/>
    </row>
    <row r="149" spans="1:6">
      <c r="A149" s="560"/>
      <c r="B149" s="146"/>
      <c r="C149" s="146"/>
      <c r="D149" s="146"/>
      <c r="E149" s="561"/>
      <c r="F149" s="146"/>
    </row>
    <row r="150" spans="1:6">
      <c r="A150" s="560"/>
      <c r="B150" s="146"/>
      <c r="C150" s="146"/>
      <c r="D150" s="146"/>
      <c r="E150" s="561"/>
      <c r="F150" s="146"/>
    </row>
    <row r="151" spans="1:6">
      <c r="A151" s="560"/>
      <c r="B151" s="146"/>
      <c r="C151" s="146"/>
      <c r="D151" s="146"/>
      <c r="E151" s="561"/>
      <c r="F151" s="146"/>
    </row>
    <row r="152" spans="1:6">
      <c r="A152" s="560"/>
      <c r="B152" s="146"/>
      <c r="C152" s="146"/>
      <c r="D152" s="146"/>
      <c r="E152" s="561"/>
      <c r="F152" s="146"/>
    </row>
    <row r="153" spans="1:6">
      <c r="A153" s="560"/>
      <c r="B153" s="146"/>
      <c r="C153" s="146"/>
      <c r="D153" s="146"/>
      <c r="E153" s="561"/>
      <c r="F153" s="146"/>
    </row>
    <row r="154" spans="1:6">
      <c r="A154" s="560"/>
      <c r="B154" s="146"/>
      <c r="C154" s="146"/>
      <c r="D154" s="146"/>
      <c r="E154" s="561"/>
      <c r="F154" s="146"/>
    </row>
    <row r="155" spans="1:6">
      <c r="A155" s="560"/>
      <c r="B155" s="146"/>
      <c r="C155" s="146"/>
      <c r="D155" s="146"/>
      <c r="E155" s="561"/>
      <c r="F155" s="146"/>
    </row>
    <row r="156" spans="1:6">
      <c r="A156" s="560"/>
      <c r="B156" s="146"/>
      <c r="C156" s="146"/>
      <c r="D156" s="146"/>
      <c r="E156" s="561"/>
      <c r="F156" s="146"/>
    </row>
    <row r="157" spans="1:6">
      <c r="A157" s="560"/>
      <c r="B157" s="146"/>
      <c r="C157" s="146"/>
      <c r="D157" s="146"/>
      <c r="E157" s="561"/>
      <c r="F157" s="146"/>
    </row>
    <row r="158" spans="1:6">
      <c r="A158" s="560"/>
      <c r="B158" s="146"/>
      <c r="C158" s="146"/>
      <c r="D158" s="146"/>
      <c r="E158" s="561"/>
      <c r="F158" s="146"/>
    </row>
    <row r="159" spans="1:6">
      <c r="A159" s="560"/>
      <c r="B159" s="146"/>
      <c r="C159" s="146"/>
      <c r="D159" s="146"/>
      <c r="E159" s="561"/>
      <c r="F159" s="146"/>
    </row>
    <row r="160" spans="1:6">
      <c r="A160" s="560"/>
      <c r="B160" s="146"/>
      <c r="C160" s="146"/>
      <c r="D160" s="146"/>
      <c r="E160" s="561"/>
      <c r="F160" s="146"/>
    </row>
    <row r="161" spans="1:6">
      <c r="A161" s="560"/>
      <c r="B161" s="146"/>
      <c r="C161" s="146"/>
      <c r="D161" s="146"/>
      <c r="E161" s="561"/>
      <c r="F161" s="146"/>
    </row>
    <row r="162" spans="1:6">
      <c r="A162" s="560"/>
      <c r="B162" s="146"/>
      <c r="C162" s="146"/>
      <c r="D162" s="146"/>
      <c r="E162" s="561"/>
      <c r="F162" s="146"/>
    </row>
    <row r="163" spans="1:6">
      <c r="A163" s="560"/>
      <c r="B163" s="146"/>
      <c r="C163" s="146"/>
      <c r="D163" s="146"/>
      <c r="E163" s="561"/>
      <c r="F163" s="146"/>
    </row>
    <row r="164" spans="1:6">
      <c r="A164" s="560"/>
      <c r="B164" s="146"/>
      <c r="C164" s="146"/>
      <c r="D164" s="146"/>
      <c r="E164" s="561"/>
      <c r="F164" s="146"/>
    </row>
    <row r="165" spans="1:6">
      <c r="A165" s="560"/>
      <c r="B165" s="146"/>
      <c r="C165" s="146"/>
      <c r="D165" s="146"/>
      <c r="E165" s="561"/>
      <c r="F165" s="146"/>
    </row>
    <row r="166" spans="1:6">
      <c r="A166" s="560"/>
      <c r="B166" s="146"/>
      <c r="C166" s="146"/>
      <c r="D166" s="146"/>
      <c r="E166" s="561"/>
      <c r="F166" s="146"/>
    </row>
    <row r="167" spans="1:6">
      <c r="A167" s="560"/>
      <c r="B167" s="146"/>
      <c r="C167" s="146"/>
      <c r="D167" s="146"/>
      <c r="E167" s="561"/>
      <c r="F167" s="146"/>
    </row>
    <row r="168" spans="1:6">
      <c r="A168" s="560"/>
      <c r="B168" s="146"/>
      <c r="C168" s="146"/>
      <c r="D168" s="146"/>
      <c r="E168" s="561"/>
      <c r="F168" s="146"/>
    </row>
    <row r="169" spans="1:6">
      <c r="A169" s="560"/>
      <c r="B169" s="146"/>
      <c r="C169" s="146"/>
      <c r="D169" s="146"/>
      <c r="E169" s="561"/>
      <c r="F169" s="146"/>
    </row>
    <row r="170" spans="1:6">
      <c r="A170" s="560"/>
      <c r="B170" s="146"/>
      <c r="C170" s="146"/>
      <c r="D170" s="146"/>
      <c r="E170" s="561"/>
      <c r="F170" s="146"/>
    </row>
    <row r="171" spans="1:6">
      <c r="A171" s="560"/>
      <c r="B171" s="146"/>
      <c r="C171" s="146"/>
      <c r="D171" s="146"/>
      <c r="E171" s="561"/>
      <c r="F171" s="146"/>
    </row>
    <row r="172" spans="1:6">
      <c r="A172" s="560"/>
      <c r="B172" s="146"/>
      <c r="C172" s="146"/>
      <c r="D172" s="146"/>
      <c r="E172" s="561"/>
      <c r="F172" s="146"/>
    </row>
    <row r="173" spans="1:6">
      <c r="A173" s="560"/>
      <c r="B173" s="146"/>
      <c r="C173" s="146"/>
      <c r="D173" s="146"/>
      <c r="E173" s="561"/>
      <c r="F173" s="146"/>
    </row>
    <row r="174" spans="1:6">
      <c r="A174" s="560"/>
      <c r="B174" s="146"/>
      <c r="C174" s="146"/>
      <c r="D174" s="146"/>
      <c r="E174" s="561"/>
      <c r="F174" s="146"/>
    </row>
    <row r="175" spans="1:6">
      <c r="A175" s="560"/>
      <c r="B175" s="146"/>
      <c r="C175" s="146"/>
      <c r="D175" s="146"/>
      <c r="E175" s="561"/>
      <c r="F175" s="146"/>
    </row>
    <row r="176" spans="1:6">
      <c r="A176" s="560"/>
      <c r="B176" s="146"/>
      <c r="C176" s="146"/>
      <c r="D176" s="146"/>
      <c r="E176" s="561"/>
      <c r="F176" s="146"/>
    </row>
    <row r="177" spans="1:6">
      <c r="A177" s="560"/>
      <c r="B177" s="146"/>
      <c r="C177" s="146"/>
      <c r="D177" s="146"/>
      <c r="E177" s="561"/>
      <c r="F177" s="146"/>
    </row>
    <row r="178" spans="1:6">
      <c r="A178" s="560"/>
      <c r="B178" s="146"/>
      <c r="C178" s="146"/>
      <c r="D178" s="146"/>
      <c r="E178" s="561"/>
      <c r="F178" s="146"/>
    </row>
    <row r="179" spans="1:6">
      <c r="A179" s="560"/>
      <c r="B179" s="146"/>
      <c r="C179" s="146"/>
      <c r="D179" s="146"/>
      <c r="E179" s="561"/>
      <c r="F179" s="146"/>
    </row>
    <row r="180" spans="1:6">
      <c r="A180" s="560"/>
      <c r="B180" s="146"/>
      <c r="C180" s="146"/>
      <c r="D180" s="146"/>
      <c r="E180" s="561"/>
      <c r="F180" s="146"/>
    </row>
    <row r="181" spans="1:6">
      <c r="A181" s="560"/>
      <c r="B181" s="146"/>
      <c r="C181" s="146"/>
      <c r="D181" s="146"/>
      <c r="E181" s="561"/>
      <c r="F181" s="146"/>
    </row>
    <row r="182" spans="1:6">
      <c r="A182" s="560"/>
      <c r="B182" s="146"/>
      <c r="C182" s="146"/>
      <c r="D182" s="146"/>
      <c r="E182" s="561"/>
      <c r="F182" s="146"/>
    </row>
    <row r="183" spans="1:6">
      <c r="A183" s="560"/>
      <c r="B183" s="146"/>
      <c r="C183" s="146"/>
      <c r="D183" s="146"/>
      <c r="E183" s="561"/>
      <c r="F183" s="146"/>
    </row>
    <row r="184" spans="1:6">
      <c r="A184" s="560"/>
      <c r="B184" s="146"/>
      <c r="C184" s="146"/>
      <c r="D184" s="146"/>
      <c r="E184" s="561"/>
      <c r="F184" s="146"/>
    </row>
    <row r="185" spans="1:6">
      <c r="A185" s="560"/>
      <c r="B185" s="146"/>
      <c r="C185" s="146"/>
      <c r="D185" s="146"/>
      <c r="E185" s="561"/>
      <c r="F185" s="146"/>
    </row>
    <row r="186" spans="1:6">
      <c r="A186" s="560"/>
      <c r="B186" s="146"/>
      <c r="C186" s="146"/>
      <c r="D186" s="146"/>
      <c r="E186" s="561"/>
      <c r="F186" s="146"/>
    </row>
    <row r="187" spans="1:6">
      <c r="A187" s="560"/>
      <c r="B187" s="146"/>
      <c r="C187" s="146"/>
      <c r="D187" s="146"/>
      <c r="E187" s="561"/>
      <c r="F187" s="146"/>
    </row>
    <row r="188" spans="1:6">
      <c r="A188" s="560"/>
      <c r="B188" s="146"/>
      <c r="C188" s="146"/>
      <c r="D188" s="146"/>
      <c r="E188" s="561"/>
      <c r="F188" s="146"/>
    </row>
    <row r="189" spans="1:6">
      <c r="A189" s="560"/>
      <c r="B189" s="146"/>
      <c r="C189" s="146"/>
      <c r="D189" s="146"/>
      <c r="E189" s="561"/>
      <c r="F189" s="146"/>
    </row>
    <row r="190" spans="1:6">
      <c r="A190" s="560"/>
      <c r="B190" s="146"/>
      <c r="C190" s="146"/>
      <c r="D190" s="146"/>
      <c r="E190" s="561"/>
      <c r="F190" s="146"/>
    </row>
    <row r="191" spans="1:6">
      <c r="A191" s="560"/>
      <c r="B191" s="146"/>
      <c r="C191" s="146"/>
      <c r="D191" s="146"/>
      <c r="E191" s="561"/>
      <c r="F191" s="146"/>
    </row>
    <row r="192" spans="1:6">
      <c r="A192" s="560"/>
      <c r="B192" s="146"/>
      <c r="C192" s="146"/>
      <c r="D192" s="146"/>
      <c r="E192" s="561"/>
      <c r="F192" s="146"/>
    </row>
    <row r="193" spans="1:6">
      <c r="A193" s="560"/>
      <c r="B193" s="146"/>
      <c r="C193" s="146"/>
      <c r="D193" s="146"/>
      <c r="E193" s="561"/>
      <c r="F193" s="146"/>
    </row>
    <row r="194" spans="1:6">
      <c r="A194" s="560"/>
      <c r="B194" s="146"/>
      <c r="C194" s="146"/>
      <c r="D194" s="146"/>
      <c r="E194" s="561"/>
      <c r="F194" s="146"/>
    </row>
    <row r="195" spans="1:6">
      <c r="A195" s="560"/>
      <c r="B195" s="146"/>
      <c r="C195" s="146"/>
      <c r="D195" s="146"/>
      <c r="E195" s="561"/>
      <c r="F195" s="146"/>
    </row>
    <row r="196" spans="1:6">
      <c r="A196" s="560"/>
      <c r="B196" s="146"/>
      <c r="C196" s="146"/>
      <c r="D196" s="146"/>
      <c r="E196" s="561"/>
      <c r="F196" s="146"/>
    </row>
    <row r="197" spans="1:6">
      <c r="A197" s="560"/>
      <c r="B197" s="146"/>
      <c r="C197" s="146"/>
      <c r="D197" s="146"/>
      <c r="E197" s="561"/>
      <c r="F197" s="146"/>
    </row>
    <row r="198" spans="1:6">
      <c r="A198" s="560"/>
      <c r="B198" s="146"/>
      <c r="C198" s="146"/>
      <c r="D198" s="146"/>
      <c r="E198" s="561"/>
      <c r="F198" s="146"/>
    </row>
    <row r="199" spans="1:6">
      <c r="A199" s="560"/>
      <c r="B199" s="146"/>
      <c r="C199" s="146"/>
      <c r="D199" s="146"/>
      <c r="E199" s="561"/>
      <c r="F199" s="146"/>
    </row>
    <row r="200" spans="1:6">
      <c r="A200" s="560"/>
      <c r="B200" s="146"/>
      <c r="C200" s="146"/>
      <c r="D200" s="146"/>
      <c r="E200" s="561"/>
      <c r="F200" s="146"/>
    </row>
    <row r="201" spans="1:6">
      <c r="A201" s="560"/>
      <c r="B201" s="146"/>
      <c r="C201" s="146"/>
      <c r="D201" s="146"/>
      <c r="E201" s="561"/>
      <c r="F201" s="146"/>
    </row>
    <row r="202" spans="1:6">
      <c r="A202" s="560"/>
      <c r="B202" s="146"/>
      <c r="C202" s="146"/>
      <c r="D202" s="146"/>
      <c r="E202" s="561"/>
      <c r="F202" s="146"/>
    </row>
    <row r="203" spans="1:6">
      <c r="A203" s="560"/>
      <c r="B203" s="146"/>
      <c r="C203" s="146"/>
      <c r="D203" s="146"/>
      <c r="E203" s="561"/>
      <c r="F203" s="146"/>
    </row>
    <row r="204" spans="1:6">
      <c r="A204" s="560"/>
      <c r="B204" s="146"/>
      <c r="C204" s="146"/>
      <c r="D204" s="146"/>
      <c r="E204" s="561"/>
      <c r="F204" s="146"/>
    </row>
    <row r="205" spans="1:6">
      <c r="A205" s="560"/>
      <c r="B205" s="146"/>
      <c r="C205" s="146"/>
      <c r="D205" s="146"/>
      <c r="E205" s="561"/>
      <c r="F205" s="146"/>
    </row>
    <row r="206" spans="1:6">
      <c r="A206" s="560"/>
      <c r="B206" s="146"/>
      <c r="C206" s="146"/>
      <c r="D206" s="146"/>
      <c r="E206" s="561"/>
      <c r="F206" s="146"/>
    </row>
    <row r="207" spans="1:6">
      <c r="A207" s="560"/>
      <c r="B207" s="146"/>
      <c r="C207" s="146"/>
      <c r="D207" s="146"/>
      <c r="E207" s="561"/>
      <c r="F207" s="146"/>
    </row>
    <row r="208" spans="1:6">
      <c r="A208" s="560"/>
      <c r="B208" s="146"/>
      <c r="C208" s="146"/>
      <c r="D208" s="146"/>
      <c r="E208" s="561"/>
      <c r="F208" s="146"/>
    </row>
    <row r="209" spans="1:6">
      <c r="A209" s="560"/>
      <c r="B209" s="146"/>
      <c r="C209" s="146"/>
      <c r="D209" s="146"/>
      <c r="E209" s="561"/>
      <c r="F209" s="146"/>
    </row>
    <row r="210" spans="1:6">
      <c r="A210" s="560"/>
      <c r="B210" s="146"/>
      <c r="C210" s="146"/>
      <c r="D210" s="146"/>
      <c r="E210" s="561"/>
      <c r="F210" s="146"/>
    </row>
    <row r="211" spans="1:6">
      <c r="A211" s="560"/>
      <c r="B211" s="146"/>
      <c r="C211" s="146"/>
      <c r="D211" s="146"/>
      <c r="E211" s="561"/>
      <c r="F211" s="146"/>
    </row>
    <row r="212" spans="1:6">
      <c r="A212" s="560"/>
      <c r="B212" s="146"/>
      <c r="C212" s="146"/>
      <c r="D212" s="146"/>
      <c r="E212" s="561"/>
      <c r="F212" s="146"/>
    </row>
    <row r="213" spans="1:6">
      <c r="A213" s="560"/>
      <c r="B213" s="146"/>
      <c r="C213" s="146"/>
      <c r="D213" s="146"/>
      <c r="E213" s="561"/>
      <c r="F213" s="146"/>
    </row>
    <row r="214" spans="1:6">
      <c r="A214" s="560"/>
      <c r="B214" s="146"/>
      <c r="C214" s="146"/>
      <c r="D214" s="146"/>
      <c r="E214" s="561"/>
      <c r="F214" s="146"/>
    </row>
    <row r="215" spans="1:6">
      <c r="A215" s="560"/>
      <c r="B215" s="146"/>
      <c r="C215" s="146"/>
      <c r="D215" s="146"/>
      <c r="E215" s="561"/>
      <c r="F215" s="146"/>
    </row>
    <row r="216" spans="1:6">
      <c r="A216" s="560"/>
      <c r="B216" s="146"/>
      <c r="C216" s="146"/>
      <c r="D216" s="146"/>
      <c r="E216" s="561"/>
      <c r="F216" s="146"/>
    </row>
    <row r="217" spans="1:6">
      <c r="A217" s="560"/>
      <c r="B217" s="146"/>
      <c r="C217" s="146"/>
      <c r="D217" s="146"/>
      <c r="E217" s="561"/>
      <c r="F217" s="146"/>
    </row>
    <row r="218" spans="1:6">
      <c r="A218" s="560"/>
      <c r="B218" s="146"/>
      <c r="C218" s="146"/>
      <c r="D218" s="146"/>
      <c r="E218" s="561"/>
      <c r="F218" s="146"/>
    </row>
    <row r="219" spans="1:6">
      <c r="A219" s="560"/>
      <c r="B219" s="146"/>
      <c r="C219" s="146"/>
      <c r="D219" s="146"/>
      <c r="E219" s="561"/>
      <c r="F219" s="146"/>
    </row>
    <row r="220" spans="1:6">
      <c r="A220" s="560"/>
      <c r="B220" s="146"/>
      <c r="C220" s="146"/>
      <c r="D220" s="146"/>
      <c r="E220" s="561"/>
      <c r="F220" s="146"/>
    </row>
    <row r="221" spans="1:6">
      <c r="A221" s="560"/>
      <c r="B221" s="146"/>
      <c r="C221" s="146"/>
      <c r="D221" s="146"/>
      <c r="E221" s="561"/>
      <c r="F221" s="146"/>
    </row>
    <row r="222" spans="1:6">
      <c r="A222" s="560"/>
      <c r="B222" s="146"/>
      <c r="C222" s="146"/>
      <c r="D222" s="146"/>
      <c r="E222" s="561"/>
      <c r="F222" s="146"/>
    </row>
    <row r="223" spans="1:6">
      <c r="A223" s="560"/>
      <c r="B223" s="146"/>
      <c r="C223" s="146"/>
      <c r="D223" s="146"/>
      <c r="E223" s="561"/>
      <c r="F223" s="146"/>
    </row>
    <row r="224" spans="1:6">
      <c r="A224" s="560"/>
      <c r="B224" s="146"/>
      <c r="C224" s="146"/>
      <c r="D224" s="146"/>
      <c r="E224" s="561"/>
      <c r="F224" s="146"/>
    </row>
    <row r="225" spans="1:6">
      <c r="A225" s="560"/>
      <c r="B225" s="146"/>
      <c r="C225" s="146"/>
      <c r="D225" s="146"/>
      <c r="E225" s="561"/>
      <c r="F225" s="146"/>
    </row>
    <row r="226" spans="1:6">
      <c r="A226" s="560"/>
      <c r="B226" s="146"/>
      <c r="C226" s="146"/>
      <c r="D226" s="146"/>
      <c r="E226" s="561"/>
      <c r="F226" s="146"/>
    </row>
    <row r="227" spans="1:6">
      <c r="A227" s="560"/>
      <c r="B227" s="146"/>
      <c r="C227" s="146"/>
      <c r="D227" s="146"/>
      <c r="E227" s="561"/>
      <c r="F227" s="146"/>
    </row>
  </sheetData>
  <sheetProtection password="9399" sheet="1" objects="1" scenarios="1"/>
  <customSheetViews>
    <customSheetView guid="{504CC784-4394-4648-B9CE-DFC32001696E}" showGridLines="0" fitToPage="1" showRuler="0">
      <selection activeCell="A5" sqref="A5"/>
      <pageMargins left="0" right="0" top="0" bottom="0" header="0" footer="0"/>
      <pageSetup orientation="landscape" r:id="rId1"/>
      <headerFooter alignWithMargins="0"/>
    </customSheetView>
  </customSheetViews>
  <mergeCells count="1">
    <mergeCell ref="A23:E23"/>
  </mergeCells>
  <phoneticPr fontId="22" type="noConversion"/>
  <hyperlinks>
    <hyperlink ref="B9" location="'Marketable Sec.'!A1" display="'Marketable Sec.'!A1" xr:uid="{110C524B-7EBB-4F9D-8FF2-105E6DF7A715}"/>
    <hyperlink ref="B11" location="'Marketable Sec.'!A1" display="'Marketable Sec.'!A1" xr:uid="{708A4832-1096-4F69-BDBB-65C8DF8C85E6}"/>
    <hyperlink ref="B10" location="'Marketable Sec.'!A1" display="'Marketable Sec.'!A1" xr:uid="{6F808523-FDA8-4F97-B22D-63E0CA398308}"/>
  </hyperlinks>
  <pageMargins left="0.75" right="0.75" top="1" bottom="1" header="0.5" footer="0.5"/>
  <pageSetup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781050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781050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D479-CFE3-44C5-9DD9-0BFB7178F805}">
  <sheetPr codeName="Sheet16">
    <pageSetUpPr fitToPage="1"/>
  </sheetPr>
  <dimension ref="A1:H191"/>
  <sheetViews>
    <sheetView showGridLines="0" zoomScaleNormal="100" zoomScaleSheetLayoutView="100" workbookViewId="0">
      <pane xSplit="2" ySplit="5" topLeftCell="C6" activePane="bottomRight" state="frozen"/>
      <selection pane="bottomRight" activeCell="L25" sqref="L25"/>
      <selection pane="bottomLeft" activeCell="G2" sqref="G2"/>
      <selection pane="topRight" activeCell="G2" sqref="G2"/>
    </sheetView>
  </sheetViews>
  <sheetFormatPr defaultColWidth="9.28515625" defaultRowHeight="12.75"/>
  <cols>
    <col min="1" max="1" width="7" style="146" customWidth="1"/>
    <col min="2" max="2" width="25.7109375" style="146" customWidth="1"/>
    <col min="3" max="3" width="13.7109375" style="146" customWidth="1"/>
    <col min="4" max="4" width="17.7109375" style="146" customWidth="1"/>
    <col min="5" max="5" width="15.7109375" style="146" customWidth="1"/>
    <col min="6" max="6" width="12.7109375" style="146" customWidth="1"/>
    <col min="7" max="7" width="17.5703125" style="146" customWidth="1"/>
    <col min="8" max="16384" width="9.28515625" style="146"/>
  </cols>
  <sheetData>
    <row r="1" spans="1:8" customFormat="1">
      <c r="A1" s="264" t="str">
        <f>+'trial balance'!A1</f>
        <v>NAME OF THE TRADING PARTICIPANT</v>
      </c>
      <c r="B1" s="124"/>
      <c r="C1" s="124"/>
      <c r="D1" s="124"/>
      <c r="E1" s="124"/>
      <c r="F1" s="124"/>
      <c r="G1" s="124"/>
    </row>
    <row r="2" spans="1:8" customFormat="1">
      <c r="A2" s="156" t="s">
        <v>742</v>
      </c>
      <c r="B2" s="124"/>
      <c r="C2" s="124"/>
      <c r="D2" s="124"/>
      <c r="E2" s="124"/>
      <c r="F2" s="124"/>
      <c r="G2" s="124"/>
    </row>
    <row r="3" spans="1:8" customFormat="1">
      <c r="A3" s="119" t="s">
        <v>743</v>
      </c>
      <c r="B3" s="119"/>
      <c r="C3" s="119"/>
      <c r="D3" s="119"/>
      <c r="E3" s="119"/>
      <c r="F3" s="119"/>
      <c r="G3" s="119"/>
    </row>
    <row r="4" spans="1:8" customFormat="1">
      <c r="A4" s="464" t="str">
        <f>'trial balance'!A3</f>
        <v>mm/dd/yyyy</v>
      </c>
      <c r="B4" s="464"/>
      <c r="C4" s="463"/>
      <c r="D4" s="463"/>
      <c r="E4" s="463"/>
      <c r="F4" s="463"/>
      <c r="G4" s="463"/>
    </row>
    <row r="5" spans="1:8" customFormat="1">
      <c r="B5" s="464"/>
      <c r="C5" s="463"/>
      <c r="D5" s="463"/>
      <c r="E5" s="463"/>
      <c r="F5" s="470"/>
      <c r="G5" s="463"/>
      <c r="H5" t="s">
        <v>668</v>
      </c>
    </row>
    <row r="6" spans="1:8" customFormat="1"/>
    <row r="7" spans="1:8" s="131" customFormat="1" ht="90.75" customHeight="1">
      <c r="A7" s="887" t="s">
        <v>704</v>
      </c>
      <c r="B7" s="887" t="s">
        <v>744</v>
      </c>
      <c r="C7" s="889" t="s">
        <v>745</v>
      </c>
      <c r="D7" s="887" t="s">
        <v>746</v>
      </c>
      <c r="E7" s="887" t="s">
        <v>747</v>
      </c>
      <c r="F7" s="887" t="s">
        <v>748</v>
      </c>
      <c r="G7" s="887" t="s">
        <v>749</v>
      </c>
    </row>
    <row r="8" spans="1:8" customFormat="1" ht="9" customHeight="1">
      <c r="A8" s="888"/>
      <c r="B8" s="888"/>
      <c r="C8" s="890"/>
      <c r="D8" s="888"/>
      <c r="E8" s="896"/>
      <c r="F8" s="910"/>
      <c r="G8" s="888"/>
    </row>
    <row r="9" spans="1:8" customFormat="1" ht="12.75" customHeight="1">
      <c r="A9" s="245"/>
      <c r="B9" s="246"/>
      <c r="C9" s="247"/>
      <c r="D9" s="895" t="s">
        <v>750</v>
      </c>
      <c r="E9" s="895" t="s">
        <v>750</v>
      </c>
      <c r="F9" s="248" t="s">
        <v>751</v>
      </c>
      <c r="G9" s="369"/>
    </row>
    <row r="10" spans="1:8" customFormat="1">
      <c r="A10" s="249"/>
      <c r="B10" s="254">
        <f>'Core Equity'!D19*0.1</f>
        <v>0</v>
      </c>
      <c r="C10" s="250"/>
      <c r="D10" s="896"/>
      <c r="E10" s="896"/>
      <c r="F10" s="251">
        <f>$B$10*3</f>
        <v>0</v>
      </c>
      <c r="G10" s="328"/>
    </row>
    <row r="11" spans="1:8" s="253" customFormat="1">
      <c r="A11" s="562">
        <v>1</v>
      </c>
      <c r="B11" s="290"/>
      <c r="C11" s="290"/>
      <c r="D11" s="290"/>
      <c r="E11" s="322">
        <f>IF(D11&lt;=0,0,IF((D11-$B$10)&gt;0,(D11-$B$10),0))</f>
        <v>0</v>
      </c>
      <c r="F11" s="322">
        <f>IF(E11&gt;0,F$10,0)</f>
        <v>0</v>
      </c>
      <c r="G11" s="365">
        <f t="shared" ref="G11:G26" si="0">IF(E11&lt;=0,0,IF(E11&gt;F11,"Yes","No"))</f>
        <v>0</v>
      </c>
    </row>
    <row r="12" spans="1:8" s="253" customFormat="1">
      <c r="A12" s="563">
        <v>2</v>
      </c>
      <c r="B12" s="291"/>
      <c r="C12" s="291"/>
      <c r="D12" s="291"/>
      <c r="E12" s="364">
        <f t="shared" ref="E12:E26" si="1">IF(D12&lt;=0,0,IF((D12-$B$10)&gt;0,(D12-$B$10),0))</f>
        <v>0</v>
      </c>
      <c r="F12" s="323">
        <f t="shared" ref="F12:F26" si="2">IF(E12&gt;0,F$10,0)</f>
        <v>0</v>
      </c>
      <c r="G12" s="366">
        <f t="shared" si="0"/>
        <v>0</v>
      </c>
    </row>
    <row r="13" spans="1:8" s="253" customFormat="1">
      <c r="A13" s="563">
        <v>3</v>
      </c>
      <c r="B13" s="291"/>
      <c r="C13" s="291"/>
      <c r="D13" s="291"/>
      <c r="E13" s="323">
        <f t="shared" si="1"/>
        <v>0</v>
      </c>
      <c r="F13" s="323">
        <f t="shared" si="2"/>
        <v>0</v>
      </c>
      <c r="G13" s="366">
        <f t="shared" si="0"/>
        <v>0</v>
      </c>
    </row>
    <row r="14" spans="1:8" s="253" customFormat="1">
      <c r="A14" s="563">
        <v>4</v>
      </c>
      <c r="B14" s="291"/>
      <c r="C14" s="291"/>
      <c r="D14" s="291"/>
      <c r="E14" s="323">
        <f t="shared" si="1"/>
        <v>0</v>
      </c>
      <c r="F14" s="323">
        <f t="shared" si="2"/>
        <v>0</v>
      </c>
      <c r="G14" s="366">
        <f t="shared" ref="G14:G19" si="3">IF(E14&lt;=0,0,IF(E14&gt;F14,"Yes","No"))</f>
        <v>0</v>
      </c>
    </row>
    <row r="15" spans="1:8" s="253" customFormat="1">
      <c r="A15" s="563">
        <v>5</v>
      </c>
      <c r="B15" s="291"/>
      <c r="C15" s="291"/>
      <c r="D15" s="291"/>
      <c r="E15" s="323">
        <f t="shared" si="1"/>
        <v>0</v>
      </c>
      <c r="F15" s="323">
        <f t="shared" si="2"/>
        <v>0</v>
      </c>
      <c r="G15" s="366">
        <f t="shared" si="3"/>
        <v>0</v>
      </c>
    </row>
    <row r="16" spans="1:8" s="253" customFormat="1">
      <c r="A16" s="563">
        <v>6</v>
      </c>
      <c r="B16" s="291"/>
      <c r="C16" s="291"/>
      <c r="D16" s="291"/>
      <c r="E16" s="323">
        <f t="shared" si="1"/>
        <v>0</v>
      </c>
      <c r="F16" s="323">
        <f t="shared" si="2"/>
        <v>0</v>
      </c>
      <c r="G16" s="366">
        <f t="shared" si="3"/>
        <v>0</v>
      </c>
    </row>
    <row r="17" spans="1:7" s="253" customFormat="1">
      <c r="A17" s="563">
        <v>7</v>
      </c>
      <c r="B17" s="291"/>
      <c r="C17" s="291"/>
      <c r="D17" s="291"/>
      <c r="E17" s="323">
        <f t="shared" si="1"/>
        <v>0</v>
      </c>
      <c r="F17" s="323">
        <f t="shared" si="2"/>
        <v>0</v>
      </c>
      <c r="G17" s="366">
        <f t="shared" si="3"/>
        <v>0</v>
      </c>
    </row>
    <row r="18" spans="1:7" s="253" customFormat="1">
      <c r="A18" s="563">
        <v>8</v>
      </c>
      <c r="B18" s="291"/>
      <c r="C18" s="291"/>
      <c r="D18" s="291"/>
      <c r="E18" s="323">
        <f t="shared" si="1"/>
        <v>0</v>
      </c>
      <c r="F18" s="323">
        <f t="shared" si="2"/>
        <v>0</v>
      </c>
      <c r="G18" s="366">
        <f t="shared" si="3"/>
        <v>0</v>
      </c>
    </row>
    <row r="19" spans="1:7" s="253" customFormat="1">
      <c r="A19" s="563">
        <v>4</v>
      </c>
      <c r="B19" s="291"/>
      <c r="C19" s="291"/>
      <c r="D19" s="291"/>
      <c r="E19" s="323">
        <f t="shared" si="1"/>
        <v>0</v>
      </c>
      <c r="F19" s="323">
        <f t="shared" si="2"/>
        <v>0</v>
      </c>
      <c r="G19" s="366">
        <f t="shared" si="3"/>
        <v>0</v>
      </c>
    </row>
    <row r="20" spans="1:7" s="253" customFormat="1">
      <c r="A20" s="563">
        <v>5</v>
      </c>
      <c r="B20" s="291"/>
      <c r="C20" s="291"/>
      <c r="D20" s="291"/>
      <c r="E20" s="323">
        <f t="shared" si="1"/>
        <v>0</v>
      </c>
      <c r="F20" s="323">
        <f t="shared" si="2"/>
        <v>0</v>
      </c>
      <c r="G20" s="366">
        <f t="shared" si="0"/>
        <v>0</v>
      </c>
    </row>
    <row r="21" spans="1:7" s="253" customFormat="1">
      <c r="A21" s="563">
        <v>6</v>
      </c>
      <c r="B21" s="291"/>
      <c r="C21" s="291"/>
      <c r="D21" s="291"/>
      <c r="E21" s="323">
        <f t="shared" si="1"/>
        <v>0</v>
      </c>
      <c r="F21" s="323">
        <f t="shared" si="2"/>
        <v>0</v>
      </c>
      <c r="G21" s="366">
        <f t="shared" si="0"/>
        <v>0</v>
      </c>
    </row>
    <row r="22" spans="1:7" s="253" customFormat="1">
      <c r="A22" s="563">
        <v>7</v>
      </c>
      <c r="B22" s="291"/>
      <c r="C22" s="291"/>
      <c r="D22" s="291"/>
      <c r="E22" s="323">
        <f t="shared" si="1"/>
        <v>0</v>
      </c>
      <c r="F22" s="323">
        <f t="shared" si="2"/>
        <v>0</v>
      </c>
      <c r="G22" s="366">
        <f t="shared" si="0"/>
        <v>0</v>
      </c>
    </row>
    <row r="23" spans="1:7" s="253" customFormat="1">
      <c r="A23" s="563">
        <v>8</v>
      </c>
      <c r="B23" s="291"/>
      <c r="C23" s="291"/>
      <c r="D23" s="291"/>
      <c r="E23" s="323">
        <f t="shared" si="1"/>
        <v>0</v>
      </c>
      <c r="F23" s="323">
        <f t="shared" si="2"/>
        <v>0</v>
      </c>
      <c r="G23" s="366">
        <f t="shared" si="0"/>
        <v>0</v>
      </c>
    </row>
    <row r="24" spans="1:7" s="253" customFormat="1">
      <c r="A24" s="563">
        <v>9</v>
      </c>
      <c r="B24" s="291"/>
      <c r="C24" s="291"/>
      <c r="D24" s="291"/>
      <c r="E24" s="323">
        <f t="shared" si="1"/>
        <v>0</v>
      </c>
      <c r="F24" s="323">
        <f t="shared" si="2"/>
        <v>0</v>
      </c>
      <c r="G24" s="366">
        <f t="shared" si="0"/>
        <v>0</v>
      </c>
    </row>
    <row r="25" spans="1:7" s="253" customFormat="1">
      <c r="A25" s="563">
        <v>10</v>
      </c>
      <c r="B25" s="291"/>
      <c r="C25" s="291"/>
      <c r="D25" s="291"/>
      <c r="E25" s="323">
        <f t="shared" si="1"/>
        <v>0</v>
      </c>
      <c r="F25" s="323">
        <f t="shared" si="2"/>
        <v>0</v>
      </c>
      <c r="G25" s="366">
        <f t="shared" si="0"/>
        <v>0</v>
      </c>
    </row>
    <row r="26" spans="1:7" s="253" customFormat="1">
      <c r="A26" s="324">
        <v>11</v>
      </c>
      <c r="B26" s="806" t="s">
        <v>752</v>
      </c>
      <c r="C26" s="367"/>
      <c r="D26" s="292"/>
      <c r="E26" s="323">
        <f t="shared" si="1"/>
        <v>0</v>
      </c>
      <c r="F26" s="323">
        <f t="shared" si="2"/>
        <v>0</v>
      </c>
      <c r="G26" s="366">
        <f t="shared" si="0"/>
        <v>0</v>
      </c>
    </row>
    <row r="27" spans="1:7" customFormat="1">
      <c r="A27" s="891" t="s">
        <v>753</v>
      </c>
      <c r="B27" s="892"/>
      <c r="C27" s="892"/>
      <c r="D27" s="892"/>
      <c r="E27" s="322">
        <f>SUM(E11:E25)</f>
        <v>0</v>
      </c>
      <c r="F27" s="893"/>
      <c r="G27" s="894"/>
    </row>
    <row r="28" spans="1:7" customFormat="1"/>
    <row r="29" spans="1:7" customFormat="1"/>
    <row r="30" spans="1:7" customFormat="1"/>
    <row r="31" spans="1:7" customFormat="1"/>
    <row r="32" spans="1:7" customFormat="1"/>
    <row r="33" spans="2:2">
      <c r="B33" s="368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</sheetData>
  <sheetProtection password="9399" sheet="1" objects="1" scenarios="1"/>
  <customSheetViews>
    <customSheetView guid="{504CC784-4394-4648-B9CE-DFC32001696E}" showGridLines="0" fitToPage="1" showRuler="0">
      <pane xSplit="2" ySplit="5" topLeftCell="C6" activePane="bottomRight" state="frozen"/>
      <selection pane="bottomRight" activeCell="E11" sqref="E11"/>
      <pageMargins left="0" right="0" top="0" bottom="0" header="0" footer="0"/>
      <printOptions horizontalCentered="1"/>
      <pageSetup orientation="landscape" r:id="rId1"/>
      <headerFooter alignWithMargins="0"/>
    </customSheetView>
  </customSheetViews>
  <mergeCells count="11">
    <mergeCell ref="B7:B8"/>
    <mergeCell ref="C7:C8"/>
    <mergeCell ref="D7:D8"/>
    <mergeCell ref="A27:D27"/>
    <mergeCell ref="F27:G27"/>
    <mergeCell ref="D9:D10"/>
    <mergeCell ref="E9:E10"/>
    <mergeCell ref="E7:E8"/>
    <mergeCell ref="F7:F8"/>
    <mergeCell ref="G7:G8"/>
    <mergeCell ref="A7:A8"/>
  </mergeCells>
  <phoneticPr fontId="22" type="noConversion"/>
  <printOptions horizontalCentered="1"/>
  <pageMargins left="0.75" right="0.75" top="1" bottom="1" header="0.5" footer="0.5"/>
  <pageSetup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666750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666750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B8236-D71E-4258-BE73-2BF66C1A153C}">
  <sheetPr codeName="Sheet18">
    <pageSetUpPr fitToPage="1"/>
  </sheetPr>
  <dimension ref="A1:S28"/>
  <sheetViews>
    <sheetView showGridLines="0" topLeftCell="A6" zoomScaleNormal="100" zoomScaleSheetLayoutView="100" workbookViewId="0">
      <selection activeCell="O11" sqref="O11"/>
    </sheetView>
  </sheetViews>
  <sheetFormatPr defaultColWidth="9.28515625" defaultRowHeight="12.75"/>
  <cols>
    <col min="1" max="1" width="8.42578125" style="146" customWidth="1"/>
    <col min="2" max="2" width="16" style="146" customWidth="1"/>
    <col min="3" max="3" width="14.42578125" style="146" customWidth="1"/>
    <col min="4" max="5" width="12.42578125" style="146" customWidth="1"/>
    <col min="6" max="6" width="11.28515625" style="146" customWidth="1"/>
    <col min="7" max="7" width="12" style="146" customWidth="1"/>
    <col min="8" max="8" width="14.28515625" style="146" customWidth="1"/>
    <col min="9" max="9" width="11" style="146" customWidth="1"/>
    <col min="10" max="10" width="10.42578125" style="146" customWidth="1"/>
    <col min="11" max="11" width="11.7109375" style="146" customWidth="1"/>
    <col min="12" max="12" width="14.5703125" style="146" customWidth="1"/>
    <col min="13" max="13" width="12.7109375" style="146" bestFit="1" customWidth="1"/>
    <col min="14" max="14" width="16.42578125" style="146" customWidth="1"/>
    <col min="15" max="17" width="9.28515625" style="146"/>
    <col min="18" max="19" width="0" style="146" hidden="1" customWidth="1"/>
    <col min="20" max="16384" width="9.28515625" style="146"/>
  </cols>
  <sheetData>
    <row r="1" spans="1:19" s="1" customFormat="1">
      <c r="A1" s="264" t="str">
        <f>+'trial balance'!A1</f>
        <v>NAME OF THE TRADING PARTICIPANT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9" s="1" customFormat="1">
      <c r="A2" s="156" t="s">
        <v>754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</row>
    <row r="3" spans="1:19" s="1" customFormat="1">
      <c r="A3" s="156" t="s">
        <v>755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</row>
    <row r="4" spans="1:19" customFormat="1">
      <c r="A4" s="156" t="s">
        <v>756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</row>
    <row r="5" spans="1:19" customFormat="1">
      <c r="A5" s="464" t="str">
        <f>+'trial balance'!A3</f>
        <v>mm/dd/yyyy</v>
      </c>
      <c r="B5" s="464"/>
      <c r="C5" s="463"/>
      <c r="D5" s="463"/>
      <c r="E5" s="463"/>
      <c r="F5" s="463"/>
      <c r="G5" s="463"/>
      <c r="H5" s="463"/>
      <c r="I5" s="463"/>
      <c r="J5" s="463"/>
      <c r="K5" s="463"/>
      <c r="L5" s="463"/>
      <c r="M5" s="463"/>
      <c r="N5" s="463"/>
    </row>
    <row r="6" spans="1:19" customFormat="1">
      <c r="A6" s="76"/>
      <c r="B6" s="76"/>
    </row>
    <row r="7" spans="1:19" customFormat="1">
      <c r="A7" s="76"/>
      <c r="B7" s="76"/>
    </row>
    <row r="8" spans="1:19" customFormat="1">
      <c r="C8" s="899" t="s">
        <v>757</v>
      </c>
      <c r="D8" s="900"/>
      <c r="E8" s="900"/>
      <c r="F8" s="900"/>
      <c r="G8" s="901"/>
      <c r="H8" s="902" t="s">
        <v>758</v>
      </c>
      <c r="I8" s="903"/>
      <c r="J8" s="903"/>
      <c r="K8" s="904"/>
    </row>
    <row r="9" spans="1:19" customFormat="1" ht="42" customHeight="1">
      <c r="A9" s="887" t="s">
        <v>704</v>
      </c>
      <c r="B9" s="897" t="s">
        <v>759</v>
      </c>
      <c r="C9" s="897" t="s">
        <v>760</v>
      </c>
      <c r="D9" s="887" t="s">
        <v>761</v>
      </c>
      <c r="E9" s="887" t="s">
        <v>762</v>
      </c>
      <c r="F9" s="887" t="s">
        <v>763</v>
      </c>
      <c r="G9" s="887" t="s">
        <v>764</v>
      </c>
      <c r="H9" s="77" t="s">
        <v>765</v>
      </c>
      <c r="I9" s="905" t="s">
        <v>766</v>
      </c>
      <c r="J9" s="887" t="s">
        <v>763</v>
      </c>
      <c r="K9" s="887" t="s">
        <v>764</v>
      </c>
      <c r="L9" s="887" t="s">
        <v>767</v>
      </c>
      <c r="M9" s="897" t="s">
        <v>768</v>
      </c>
      <c r="N9" s="897" t="s">
        <v>769</v>
      </c>
    </row>
    <row r="10" spans="1:19" customFormat="1" ht="46.15" customHeight="1">
      <c r="A10" s="888"/>
      <c r="B10" s="897"/>
      <c r="C10" s="897"/>
      <c r="D10" s="888"/>
      <c r="E10" s="888"/>
      <c r="F10" s="888"/>
      <c r="G10" s="888"/>
      <c r="H10" s="671" t="str">
        <f>IF(COUNT(S12:S21)&gt;0,"( Pls. recheck column…  Encode where applicable.)","")</f>
        <v/>
      </c>
      <c r="I10" s="906"/>
      <c r="J10" s="888"/>
      <c r="K10" s="888"/>
      <c r="L10" s="888"/>
      <c r="M10" s="898"/>
      <c r="N10" s="897"/>
      <c r="R10" s="318" t="s">
        <v>770</v>
      </c>
      <c r="S10" t="s">
        <v>771</v>
      </c>
    </row>
    <row r="11" spans="1:19" customFormat="1" ht="25.5">
      <c r="A11" s="73"/>
      <c r="B11" s="73"/>
      <c r="C11" s="222">
        <f>'Core Equity'!D19*0.1</f>
        <v>0</v>
      </c>
      <c r="D11" s="73" t="s">
        <v>711</v>
      </c>
      <c r="E11" s="73" t="s">
        <v>712</v>
      </c>
      <c r="F11" s="73" t="s">
        <v>772</v>
      </c>
      <c r="G11" s="71" t="s">
        <v>773</v>
      </c>
      <c r="H11" s="670"/>
      <c r="I11" s="110" t="s">
        <v>715</v>
      </c>
      <c r="J11" s="71" t="s">
        <v>774</v>
      </c>
      <c r="K11" s="71" t="s">
        <v>775</v>
      </c>
      <c r="M11" s="222">
        <f>$C$11*25</f>
        <v>0</v>
      </c>
      <c r="N11" s="72"/>
    </row>
    <row r="12" spans="1:19" customFormat="1" ht="15" customHeight="1">
      <c r="A12" s="370">
        <v>1</v>
      </c>
      <c r="B12" s="319"/>
      <c r="C12" s="319"/>
      <c r="D12" s="319"/>
      <c r="E12" s="382">
        <f>IF(D12&lt;$C$11,0,D12-$C$11)</f>
        <v>0</v>
      </c>
      <c r="F12" s="623">
        <f>VLOOKUP($R12,PRF,2,FALSE)</f>
        <v>0.35</v>
      </c>
      <c r="G12" s="382">
        <f>E12*F12</f>
        <v>0</v>
      </c>
      <c r="H12" s="319"/>
      <c r="I12" s="385">
        <f>IF(D12&gt;H12,D12-H12,0)</f>
        <v>0</v>
      </c>
      <c r="J12" s="376">
        <f>F12</f>
        <v>0.35</v>
      </c>
      <c r="K12" s="373">
        <f t="shared" ref="K12:K21" si="0">I12*J12</f>
        <v>0</v>
      </c>
      <c r="L12" s="377">
        <f>IF(G12&gt;K12,G12,K12)</f>
        <v>0</v>
      </c>
      <c r="M12" s="373">
        <f t="shared" ref="M12:M21" si="1">IF(L12&gt;0,M$11,0)</f>
        <v>0</v>
      </c>
      <c r="N12" s="373">
        <f>IF(L12&lt;=0,0,IF(L12&gt;M12,"Yes","No"))</f>
        <v>0</v>
      </c>
      <c r="R12" s="146">
        <v>1</v>
      </c>
      <c r="S12" t="b">
        <f>IF(E12&gt;0,1)</f>
        <v>0</v>
      </c>
    </row>
    <row r="13" spans="1:19" customFormat="1" ht="15" customHeight="1">
      <c r="A13" s="371">
        <v>2</v>
      </c>
      <c r="B13" s="320"/>
      <c r="C13" s="320"/>
      <c r="D13" s="320"/>
      <c r="E13" s="383">
        <f t="shared" ref="E13:E21" si="2">IF(D13&lt;$C$11,0,D13-$C$11)</f>
        <v>0</v>
      </c>
      <c r="F13" s="624">
        <f>VLOOKUP($R13,PRF,2,FALSE)</f>
        <v>0.25</v>
      </c>
      <c r="G13" s="383">
        <f t="shared" ref="G13:G21" si="3">E13*F13</f>
        <v>0</v>
      </c>
      <c r="H13" s="320"/>
      <c r="I13" s="386">
        <f t="shared" ref="I13:I21" si="4">IF(D13&gt;H13,D13-H13,0)</f>
        <v>0</v>
      </c>
      <c r="J13" s="378">
        <f t="shared" ref="J13:J21" si="5">F13</f>
        <v>0.25</v>
      </c>
      <c r="K13" s="374">
        <f>I13*J13</f>
        <v>0</v>
      </c>
      <c r="L13" s="379">
        <f t="shared" ref="L13:L21" si="6">IF(G13&gt;K13,G13,K13)</f>
        <v>0</v>
      </c>
      <c r="M13" s="374">
        <f t="shared" si="1"/>
        <v>0</v>
      </c>
      <c r="N13" s="374">
        <f t="shared" ref="N13:N21" si="7">IF(L13&lt;=0,0,IF(L13&gt;M13,"Yes","No"))</f>
        <v>0</v>
      </c>
      <c r="R13" s="146">
        <v>2</v>
      </c>
      <c r="S13" t="b">
        <f t="shared" ref="S13:S21" si="8">IF(E13&gt;0,1)</f>
        <v>0</v>
      </c>
    </row>
    <row r="14" spans="1:19" customFormat="1" ht="15" customHeight="1">
      <c r="A14" s="371">
        <v>3</v>
      </c>
      <c r="B14" s="320"/>
      <c r="C14" s="320"/>
      <c r="D14" s="320"/>
      <c r="E14" s="383">
        <f t="shared" si="2"/>
        <v>0</v>
      </c>
      <c r="F14" s="624">
        <f t="shared" ref="F14:F21" si="9">VLOOKUP($R14,PRF,2,FALSE)</f>
        <v>0.35</v>
      </c>
      <c r="G14" s="383">
        <f t="shared" si="3"/>
        <v>0</v>
      </c>
      <c r="H14" s="320"/>
      <c r="I14" s="386">
        <f t="shared" si="4"/>
        <v>0</v>
      </c>
      <c r="J14" s="378">
        <f t="shared" si="5"/>
        <v>0.35</v>
      </c>
      <c r="K14" s="374">
        <f>I14*J14</f>
        <v>0</v>
      </c>
      <c r="L14" s="379">
        <f t="shared" si="6"/>
        <v>0</v>
      </c>
      <c r="M14" s="374">
        <f t="shared" si="1"/>
        <v>0</v>
      </c>
      <c r="N14" s="374">
        <f t="shared" si="7"/>
        <v>0</v>
      </c>
      <c r="R14" s="146">
        <v>1</v>
      </c>
      <c r="S14" t="b">
        <f t="shared" si="8"/>
        <v>0</v>
      </c>
    </row>
    <row r="15" spans="1:19" customFormat="1" ht="15" customHeight="1">
      <c r="A15" s="371">
        <v>4</v>
      </c>
      <c r="B15" s="320"/>
      <c r="C15" s="320"/>
      <c r="D15" s="320"/>
      <c r="E15" s="383">
        <f t="shared" si="2"/>
        <v>0</v>
      </c>
      <c r="F15" s="624">
        <f t="shared" si="9"/>
        <v>0.25</v>
      </c>
      <c r="G15" s="383">
        <f t="shared" si="3"/>
        <v>0</v>
      </c>
      <c r="H15" s="320"/>
      <c r="I15" s="386">
        <f t="shared" si="4"/>
        <v>0</v>
      </c>
      <c r="J15" s="378">
        <f t="shared" si="5"/>
        <v>0.25</v>
      </c>
      <c r="K15" s="374">
        <f>I15*J15</f>
        <v>0</v>
      </c>
      <c r="L15" s="379">
        <f t="shared" si="6"/>
        <v>0</v>
      </c>
      <c r="M15" s="374">
        <f t="shared" si="1"/>
        <v>0</v>
      </c>
      <c r="N15" s="374">
        <f t="shared" si="7"/>
        <v>0</v>
      </c>
      <c r="R15" s="146">
        <v>2</v>
      </c>
      <c r="S15" t="b">
        <f t="shared" si="8"/>
        <v>0</v>
      </c>
    </row>
    <row r="16" spans="1:19" customFormat="1" ht="15" customHeight="1">
      <c r="A16" s="371">
        <v>5</v>
      </c>
      <c r="B16" s="320"/>
      <c r="C16" s="320"/>
      <c r="D16" s="320"/>
      <c r="E16" s="383">
        <f t="shared" si="2"/>
        <v>0</v>
      </c>
      <c r="F16" s="624">
        <f t="shared" si="9"/>
        <v>0.35</v>
      </c>
      <c r="G16" s="383">
        <f t="shared" si="3"/>
        <v>0</v>
      </c>
      <c r="H16" s="320"/>
      <c r="I16" s="386">
        <f t="shared" si="4"/>
        <v>0</v>
      </c>
      <c r="J16" s="378">
        <f t="shared" si="5"/>
        <v>0.35</v>
      </c>
      <c r="K16" s="374">
        <f>I16*J16</f>
        <v>0</v>
      </c>
      <c r="L16" s="379">
        <f t="shared" si="6"/>
        <v>0</v>
      </c>
      <c r="M16" s="374">
        <f t="shared" si="1"/>
        <v>0</v>
      </c>
      <c r="N16" s="374">
        <f t="shared" si="7"/>
        <v>0</v>
      </c>
      <c r="R16" s="146">
        <v>1</v>
      </c>
      <c r="S16" t="b">
        <f t="shared" si="8"/>
        <v>0</v>
      </c>
    </row>
    <row r="17" spans="1:19" customFormat="1" ht="15" customHeight="1">
      <c r="A17" s="371">
        <v>6</v>
      </c>
      <c r="B17" s="320"/>
      <c r="C17" s="320"/>
      <c r="D17" s="320"/>
      <c r="E17" s="383">
        <f t="shared" si="2"/>
        <v>0</v>
      </c>
      <c r="F17" s="624">
        <f t="shared" si="9"/>
        <v>0.35</v>
      </c>
      <c r="G17" s="383">
        <f t="shared" si="3"/>
        <v>0</v>
      </c>
      <c r="H17" s="320"/>
      <c r="I17" s="386">
        <f t="shared" si="4"/>
        <v>0</v>
      </c>
      <c r="J17" s="378">
        <f t="shared" si="5"/>
        <v>0.35</v>
      </c>
      <c r="K17" s="374">
        <f t="shared" si="0"/>
        <v>0</v>
      </c>
      <c r="L17" s="379">
        <f t="shared" si="6"/>
        <v>0</v>
      </c>
      <c r="M17" s="374">
        <f t="shared" si="1"/>
        <v>0</v>
      </c>
      <c r="N17" s="374">
        <f t="shared" si="7"/>
        <v>0</v>
      </c>
      <c r="R17" s="146">
        <v>1</v>
      </c>
      <c r="S17" t="b">
        <f t="shared" si="8"/>
        <v>0</v>
      </c>
    </row>
    <row r="18" spans="1:19" customFormat="1" ht="15" customHeight="1">
      <c r="A18" s="371">
        <v>7</v>
      </c>
      <c r="B18" s="320"/>
      <c r="C18" s="320"/>
      <c r="D18" s="320"/>
      <c r="E18" s="383">
        <f t="shared" si="2"/>
        <v>0</v>
      </c>
      <c r="F18" s="624">
        <f t="shared" si="9"/>
        <v>0.35</v>
      </c>
      <c r="G18" s="383">
        <f t="shared" si="3"/>
        <v>0</v>
      </c>
      <c r="H18" s="320"/>
      <c r="I18" s="386">
        <f t="shared" si="4"/>
        <v>0</v>
      </c>
      <c r="J18" s="378">
        <f t="shared" si="5"/>
        <v>0.35</v>
      </c>
      <c r="K18" s="374">
        <f t="shared" si="0"/>
        <v>0</v>
      </c>
      <c r="L18" s="379">
        <f t="shared" si="6"/>
        <v>0</v>
      </c>
      <c r="M18" s="374">
        <f t="shared" si="1"/>
        <v>0</v>
      </c>
      <c r="N18" s="374">
        <f t="shared" si="7"/>
        <v>0</v>
      </c>
      <c r="R18" s="146">
        <v>1</v>
      </c>
      <c r="S18" t="b">
        <f t="shared" si="8"/>
        <v>0</v>
      </c>
    </row>
    <row r="19" spans="1:19" customFormat="1" ht="15" customHeight="1">
      <c r="A19" s="371">
        <v>8</v>
      </c>
      <c r="B19" s="320"/>
      <c r="C19" s="320"/>
      <c r="D19" s="320"/>
      <c r="E19" s="383">
        <f t="shared" si="2"/>
        <v>0</v>
      </c>
      <c r="F19" s="624">
        <f t="shared" si="9"/>
        <v>0.35</v>
      </c>
      <c r="G19" s="383">
        <f t="shared" si="3"/>
        <v>0</v>
      </c>
      <c r="H19" s="320"/>
      <c r="I19" s="386">
        <f t="shared" si="4"/>
        <v>0</v>
      </c>
      <c r="J19" s="378">
        <f t="shared" si="5"/>
        <v>0.35</v>
      </c>
      <c r="K19" s="374">
        <f t="shared" si="0"/>
        <v>0</v>
      </c>
      <c r="L19" s="379">
        <f t="shared" si="6"/>
        <v>0</v>
      </c>
      <c r="M19" s="374">
        <f t="shared" si="1"/>
        <v>0</v>
      </c>
      <c r="N19" s="374">
        <f t="shared" si="7"/>
        <v>0</v>
      </c>
      <c r="R19" s="146">
        <v>1</v>
      </c>
      <c r="S19" t="b">
        <f t="shared" si="8"/>
        <v>0</v>
      </c>
    </row>
    <row r="20" spans="1:19" customFormat="1" ht="15" customHeight="1">
      <c r="A20" s="371">
        <v>9</v>
      </c>
      <c r="B20" s="320"/>
      <c r="C20" s="320"/>
      <c r="D20" s="320"/>
      <c r="E20" s="383">
        <f t="shared" si="2"/>
        <v>0</v>
      </c>
      <c r="F20" s="624">
        <f t="shared" si="9"/>
        <v>0.25</v>
      </c>
      <c r="G20" s="383">
        <f t="shared" si="3"/>
        <v>0</v>
      </c>
      <c r="H20" s="320"/>
      <c r="I20" s="386">
        <f t="shared" si="4"/>
        <v>0</v>
      </c>
      <c r="J20" s="378">
        <f t="shared" si="5"/>
        <v>0.25</v>
      </c>
      <c r="K20" s="374">
        <f t="shared" si="0"/>
        <v>0</v>
      </c>
      <c r="L20" s="379">
        <f t="shared" si="6"/>
        <v>0</v>
      </c>
      <c r="M20" s="374">
        <f t="shared" si="1"/>
        <v>0</v>
      </c>
      <c r="N20" s="374">
        <f t="shared" si="7"/>
        <v>0</v>
      </c>
      <c r="R20" s="146">
        <v>2</v>
      </c>
      <c r="S20" t="b">
        <f t="shared" si="8"/>
        <v>0</v>
      </c>
    </row>
    <row r="21" spans="1:19" customFormat="1" ht="15" customHeight="1">
      <c r="A21" s="372">
        <v>10</v>
      </c>
      <c r="B21" s="321"/>
      <c r="C21" s="321"/>
      <c r="D21" s="321"/>
      <c r="E21" s="384">
        <f t="shared" si="2"/>
        <v>0</v>
      </c>
      <c r="F21" s="625">
        <f t="shared" si="9"/>
        <v>0.35</v>
      </c>
      <c r="G21" s="384">
        <f t="shared" si="3"/>
        <v>0</v>
      </c>
      <c r="H21" s="321"/>
      <c r="I21" s="387">
        <f t="shared" si="4"/>
        <v>0</v>
      </c>
      <c r="J21" s="380">
        <f t="shared" si="5"/>
        <v>0.35</v>
      </c>
      <c r="K21" s="375">
        <f t="shared" si="0"/>
        <v>0</v>
      </c>
      <c r="L21" s="381">
        <f t="shared" si="6"/>
        <v>0</v>
      </c>
      <c r="M21" s="375">
        <f t="shared" si="1"/>
        <v>0</v>
      </c>
      <c r="N21" s="375">
        <f t="shared" si="7"/>
        <v>0</v>
      </c>
      <c r="R21" s="146">
        <v>1</v>
      </c>
      <c r="S21" t="b">
        <f t="shared" si="8"/>
        <v>0</v>
      </c>
    </row>
    <row r="22" spans="1:19" customFormat="1" ht="14.25" customHeight="1" thickBot="1">
      <c r="A22" s="482" t="s">
        <v>776</v>
      </c>
      <c r="B22" s="482"/>
      <c r="C22" s="482"/>
      <c r="D22" s="483"/>
      <c r="E22" s="483"/>
      <c r="F22" s="483"/>
      <c r="G22" s="444">
        <f>SUM(G12:G21)</f>
        <v>0</v>
      </c>
      <c r="H22" s="484"/>
      <c r="I22" s="485"/>
      <c r="J22" s="485"/>
      <c r="K22" s="444">
        <f>SUM(K12:K21)</f>
        <v>0</v>
      </c>
      <c r="L22" s="444">
        <f>SUM(L12:L21)</f>
        <v>0</v>
      </c>
      <c r="M22" s="486"/>
      <c r="N22" s="427"/>
    </row>
    <row r="23" spans="1:19" customFormat="1" ht="13.5" thickTop="1"/>
    <row r="24" spans="1:19" customFormat="1"/>
    <row r="25" spans="1:19" customFormat="1"/>
    <row r="26" spans="1:19" customFormat="1"/>
    <row r="27" spans="1:19" customFormat="1"/>
    <row r="28" spans="1:19" customFormat="1"/>
  </sheetData>
  <sheetProtection password="9399" sheet="1" objects="1" scenarios="1"/>
  <customSheetViews>
    <customSheetView guid="{504CC784-4394-4648-B9CE-DFC32001696E}" showGridLines="0" fitToPage="1" hiddenColumns="1" showRuler="0">
      <pane xSplit="2" ySplit="6" topLeftCell="C7" activePane="bottomRight" state="frozen"/>
      <selection pane="bottomRight" activeCell="A12" sqref="A12"/>
      <pageMargins left="0" right="0" top="0" bottom="0" header="0" footer="0"/>
      <pageSetup scale="72" orientation="landscape" r:id="rId1"/>
      <headerFooter alignWithMargins="0"/>
    </customSheetView>
  </customSheetViews>
  <mergeCells count="15">
    <mergeCell ref="A9:A10"/>
    <mergeCell ref="J9:J10"/>
    <mergeCell ref="C8:G8"/>
    <mergeCell ref="H8:K8"/>
    <mergeCell ref="F9:F10"/>
    <mergeCell ref="E9:E10"/>
    <mergeCell ref="D9:D10"/>
    <mergeCell ref="G9:G10"/>
    <mergeCell ref="I9:I10"/>
    <mergeCell ref="N9:N10"/>
    <mergeCell ref="K9:K10"/>
    <mergeCell ref="B9:B10"/>
    <mergeCell ref="C9:C10"/>
    <mergeCell ref="L9:L10"/>
    <mergeCell ref="M9:M10"/>
  </mergeCells>
  <phoneticPr fontId="22" type="noConversion"/>
  <pageMargins left="0.75" right="0.75" top="1" bottom="1" header="0.5" footer="0.5"/>
  <pageSetup scale="72"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571500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571500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6" r:id="rId7" name="Drop Down 10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7" r:id="rId8" name="Drop Down 21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9" r:id="rId9" name="Drop Down 23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1" r:id="rId10" name="Drop Down 25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3" r:id="rId11" name="Drop Down 27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14</xdr:row>
                    <xdr:rowOff>171450</xdr:rowOff>
                  </from>
                  <to>
                    <xdr:col>6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5" r:id="rId12" name="Drop Down 29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15</xdr:row>
                    <xdr:rowOff>171450</xdr:rowOff>
                  </from>
                  <to>
                    <xdr:col>6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7" r:id="rId13" name="Drop Down 31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16</xdr:row>
                    <xdr:rowOff>171450</xdr:rowOff>
                  </from>
                  <to>
                    <xdr:col>6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9" r:id="rId14" name="Drop Down 33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17</xdr:row>
                    <xdr:rowOff>171450</xdr:rowOff>
                  </from>
                  <to>
                    <xdr:col>6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1" r:id="rId15" name="Drop Down 35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18</xdr:row>
                    <xdr:rowOff>171450</xdr:rowOff>
                  </from>
                  <to>
                    <xdr:col>6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2" r:id="rId16" name="Drop Down 36">
              <controlPr defaultSize="0" print="0" autoFill="0" autoLine="0" autoPict="0">
                <anchor moveWithCells="1">
                  <from>
                    <xdr:col>5</xdr:col>
                    <xdr:colOff>0</xdr:colOff>
                    <xdr:row>19</xdr:row>
                    <xdr:rowOff>171450</xdr:rowOff>
                  </from>
                  <to>
                    <xdr:col>6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293C-8989-4614-AECF-45B5F787998D}">
  <sheetPr codeName="Sheet17">
    <pageSetUpPr fitToPage="1"/>
  </sheetPr>
  <dimension ref="A1:H159"/>
  <sheetViews>
    <sheetView showGridLines="0" zoomScaleNormal="100" workbookViewId="0">
      <pane xSplit="2" ySplit="5" topLeftCell="C6" activePane="bottomRight" state="frozen"/>
      <selection pane="bottomRight" activeCell="H7" sqref="H7"/>
      <selection pane="bottomLeft" activeCell="G2" sqref="G2"/>
      <selection pane="topRight" activeCell="G2" sqref="G2"/>
    </sheetView>
  </sheetViews>
  <sheetFormatPr defaultRowHeight="12.75"/>
  <cols>
    <col min="1" max="1" width="6.7109375" customWidth="1"/>
    <col min="2" max="2" width="25.7109375" customWidth="1"/>
    <col min="3" max="3" width="15.7109375" customWidth="1"/>
    <col min="4" max="4" width="21.28515625" customWidth="1"/>
    <col min="5" max="6" width="12.7109375" customWidth="1"/>
    <col min="7" max="7" width="11.28515625" customWidth="1"/>
    <col min="8" max="8" width="20.7109375" customWidth="1"/>
  </cols>
  <sheetData>
    <row r="1" spans="1:8" s="1" customFormat="1">
      <c r="A1" s="264" t="str">
        <f>+'trial balance'!A1</f>
        <v>NAME OF THE TRADING PARTICIPANT</v>
      </c>
      <c r="B1" s="156"/>
      <c r="C1" s="156"/>
      <c r="D1" s="156"/>
      <c r="E1" s="156"/>
      <c r="F1" s="156"/>
      <c r="G1" s="156"/>
      <c r="H1" s="156"/>
    </row>
    <row r="2" spans="1:8">
      <c r="A2" s="156" t="s">
        <v>777</v>
      </c>
      <c r="B2" s="119"/>
      <c r="C2" s="119"/>
      <c r="D2" s="119"/>
      <c r="E2" s="119"/>
      <c r="F2" s="119"/>
      <c r="G2" s="119"/>
      <c r="H2" s="119"/>
    </row>
    <row r="3" spans="1:8">
      <c r="A3" s="119" t="s">
        <v>778</v>
      </c>
      <c r="B3" s="124"/>
      <c r="C3" s="124"/>
      <c r="D3" s="124"/>
      <c r="E3" s="124"/>
      <c r="F3" s="124"/>
      <c r="G3" s="124"/>
      <c r="H3" s="124"/>
    </row>
    <row r="4" spans="1:8">
      <c r="A4" s="464" t="str">
        <f>+'trial balance'!A3</f>
        <v>mm/dd/yyyy</v>
      </c>
      <c r="B4" s="464"/>
      <c r="C4" s="463"/>
      <c r="D4" s="463"/>
      <c r="E4" s="463"/>
      <c r="F4" s="463"/>
      <c r="G4" s="463"/>
      <c r="H4" s="463"/>
    </row>
    <row r="5" spans="1:8">
      <c r="A5" s="76"/>
      <c r="B5" s="76"/>
      <c r="E5" s="81"/>
    </row>
    <row r="7" spans="1:8" s="419" customFormat="1" ht="51">
      <c r="A7" s="432" t="s">
        <v>704</v>
      </c>
      <c r="B7" s="432" t="s">
        <v>779</v>
      </c>
      <c r="C7" s="432" t="s">
        <v>780</v>
      </c>
      <c r="D7" s="432" t="s">
        <v>781</v>
      </c>
      <c r="E7" s="433" t="s">
        <v>763</v>
      </c>
      <c r="F7" s="432" t="s">
        <v>764</v>
      </c>
      <c r="G7" s="434" t="s">
        <v>782</v>
      </c>
      <c r="H7" s="432" t="s">
        <v>783</v>
      </c>
    </row>
    <row r="8" spans="1:8" ht="25.5">
      <c r="A8" s="211"/>
      <c r="B8" s="222">
        <f>'Core Equity'!D19*0.1</f>
        <v>0</v>
      </c>
      <c r="C8" s="73" t="s">
        <v>711</v>
      </c>
      <c r="D8" s="73" t="s">
        <v>712</v>
      </c>
      <c r="E8" s="71" t="s">
        <v>784</v>
      </c>
      <c r="F8" s="71" t="s">
        <v>773</v>
      </c>
      <c r="G8" s="222">
        <f>$B$8*3</f>
        <v>0</v>
      </c>
      <c r="H8" s="369"/>
    </row>
    <row r="9" spans="1:8">
      <c r="A9" s="315">
        <v>1</v>
      </c>
      <c r="B9" s="290"/>
      <c r="C9" s="290"/>
      <c r="D9" s="430">
        <f>IF(C9&lt;$B$8,0,C9-$B$8)</f>
        <v>0</v>
      </c>
      <c r="E9" s="564"/>
      <c r="F9" s="315">
        <f>D9*E9</f>
        <v>0</v>
      </c>
      <c r="G9" s="817">
        <f>IF(D9&gt;0,G$8,0)</f>
        <v>0</v>
      </c>
      <c r="H9" s="816">
        <f>IF(F9&lt;=0,0,IF(F9&gt;G9,"Yes","No"))</f>
        <v>0</v>
      </c>
    </row>
    <row r="10" spans="1:8">
      <c r="A10" s="316">
        <v>2</v>
      </c>
      <c r="B10" s="291"/>
      <c r="C10" s="291"/>
      <c r="D10" s="431">
        <f t="shared" ref="D10:D23" si="0">IF(C10&lt;$B$8,0,C10-$B$8)</f>
        <v>0</v>
      </c>
      <c r="E10" s="565"/>
      <c r="F10" s="315">
        <f t="shared" ref="F10:F23" si="1">D10*E10</f>
        <v>0</v>
      </c>
      <c r="G10" s="817">
        <f t="shared" ref="G10:G23" si="2">IF(D10&gt;0,G$8,0)</f>
        <v>0</v>
      </c>
      <c r="H10" s="816">
        <f t="shared" ref="H10:H23" si="3">IF(F10&lt;=0,0,IF(F10&gt;G10,"Yes","No"))</f>
        <v>0</v>
      </c>
    </row>
    <row r="11" spans="1:8">
      <c r="A11" s="316">
        <v>3</v>
      </c>
      <c r="B11" s="291"/>
      <c r="C11" s="291"/>
      <c r="D11" s="431">
        <f t="shared" si="0"/>
        <v>0</v>
      </c>
      <c r="E11" s="565"/>
      <c r="F11" s="315">
        <f t="shared" si="1"/>
        <v>0</v>
      </c>
      <c r="G11" s="817">
        <f t="shared" si="2"/>
        <v>0</v>
      </c>
      <c r="H11" s="816">
        <f t="shared" si="3"/>
        <v>0</v>
      </c>
    </row>
    <row r="12" spans="1:8">
      <c r="A12" s="316">
        <v>4</v>
      </c>
      <c r="B12" s="291"/>
      <c r="C12" s="291"/>
      <c r="D12" s="431">
        <f t="shared" si="0"/>
        <v>0</v>
      </c>
      <c r="E12" s="565"/>
      <c r="F12" s="315">
        <f t="shared" si="1"/>
        <v>0</v>
      </c>
      <c r="G12" s="817">
        <f t="shared" si="2"/>
        <v>0</v>
      </c>
      <c r="H12" s="816">
        <f t="shared" si="3"/>
        <v>0</v>
      </c>
    </row>
    <row r="13" spans="1:8">
      <c r="A13" s="316">
        <v>5</v>
      </c>
      <c r="B13" s="291"/>
      <c r="C13" s="291"/>
      <c r="D13" s="431">
        <f t="shared" si="0"/>
        <v>0</v>
      </c>
      <c r="E13" s="565"/>
      <c r="F13" s="315">
        <f t="shared" si="1"/>
        <v>0</v>
      </c>
      <c r="G13" s="817">
        <f t="shared" si="2"/>
        <v>0</v>
      </c>
      <c r="H13" s="816">
        <f>IF(F13&lt;=0,0,IF(F13&gt;G13,"Yes","No"))</f>
        <v>0</v>
      </c>
    </row>
    <row r="14" spans="1:8">
      <c r="A14" s="316">
        <v>6</v>
      </c>
      <c r="B14" s="291"/>
      <c r="C14" s="291"/>
      <c r="D14" s="431">
        <f t="shared" si="0"/>
        <v>0</v>
      </c>
      <c r="E14" s="565"/>
      <c r="F14" s="315">
        <f t="shared" si="1"/>
        <v>0</v>
      </c>
      <c r="G14" s="817">
        <f t="shared" si="2"/>
        <v>0</v>
      </c>
      <c r="H14" s="816">
        <f>IF(F14&lt;=0,0,IF(F14&gt;G14,"Yes","No"))</f>
        <v>0</v>
      </c>
    </row>
    <row r="15" spans="1:8">
      <c r="A15" s="316">
        <v>7</v>
      </c>
      <c r="B15" s="291"/>
      <c r="C15" s="291"/>
      <c r="D15" s="431">
        <f t="shared" si="0"/>
        <v>0</v>
      </c>
      <c r="E15" s="565"/>
      <c r="F15" s="315">
        <f t="shared" si="1"/>
        <v>0</v>
      </c>
      <c r="G15" s="817">
        <f t="shared" si="2"/>
        <v>0</v>
      </c>
      <c r="H15" s="816">
        <f>IF(F15&lt;=0,0,IF(F15&gt;G15,"Yes","No"))</f>
        <v>0</v>
      </c>
    </row>
    <row r="16" spans="1:8">
      <c r="A16" s="316">
        <v>8</v>
      </c>
      <c r="B16" s="291"/>
      <c r="C16" s="291"/>
      <c r="D16" s="431">
        <f t="shared" si="0"/>
        <v>0</v>
      </c>
      <c r="E16" s="565"/>
      <c r="F16" s="315">
        <f t="shared" si="1"/>
        <v>0</v>
      </c>
      <c r="G16" s="817">
        <f t="shared" si="2"/>
        <v>0</v>
      </c>
      <c r="H16" s="816">
        <f>IF(F16&lt;=0,0,IF(F16&gt;G16,"Yes","No"))</f>
        <v>0</v>
      </c>
    </row>
    <row r="17" spans="1:8">
      <c r="A17" s="316">
        <v>9</v>
      </c>
      <c r="B17" s="291"/>
      <c r="C17" s="291"/>
      <c r="D17" s="431">
        <f t="shared" si="0"/>
        <v>0</v>
      </c>
      <c r="E17" s="565"/>
      <c r="F17" s="315">
        <f t="shared" si="1"/>
        <v>0</v>
      </c>
      <c r="G17" s="817">
        <f t="shared" si="2"/>
        <v>0</v>
      </c>
      <c r="H17" s="816">
        <f>IF(F17&lt;=0,0,IF(F17&gt;G17,"Yes","No"))</f>
        <v>0</v>
      </c>
    </row>
    <row r="18" spans="1:8">
      <c r="A18" s="316">
        <v>5</v>
      </c>
      <c r="B18" s="291"/>
      <c r="C18" s="291"/>
      <c r="D18" s="431">
        <f t="shared" si="0"/>
        <v>0</v>
      </c>
      <c r="E18" s="565"/>
      <c r="F18" s="315">
        <f t="shared" si="1"/>
        <v>0</v>
      </c>
      <c r="G18" s="817">
        <f t="shared" si="2"/>
        <v>0</v>
      </c>
      <c r="H18" s="816">
        <f t="shared" si="3"/>
        <v>0</v>
      </c>
    </row>
    <row r="19" spans="1:8">
      <c r="A19" s="316">
        <v>6</v>
      </c>
      <c r="B19" s="291"/>
      <c r="C19" s="291"/>
      <c r="D19" s="431">
        <f t="shared" si="0"/>
        <v>0</v>
      </c>
      <c r="E19" s="565"/>
      <c r="F19" s="315">
        <f t="shared" si="1"/>
        <v>0</v>
      </c>
      <c r="G19" s="817">
        <f t="shared" si="2"/>
        <v>0</v>
      </c>
      <c r="H19" s="816">
        <f t="shared" si="3"/>
        <v>0</v>
      </c>
    </row>
    <row r="20" spans="1:8">
      <c r="A20" s="316">
        <v>7</v>
      </c>
      <c r="B20" s="291"/>
      <c r="C20" s="291"/>
      <c r="D20" s="431">
        <f t="shared" si="0"/>
        <v>0</v>
      </c>
      <c r="E20" s="565"/>
      <c r="F20" s="315">
        <f t="shared" si="1"/>
        <v>0</v>
      </c>
      <c r="G20" s="817">
        <f t="shared" si="2"/>
        <v>0</v>
      </c>
      <c r="H20" s="816">
        <f t="shared" si="3"/>
        <v>0</v>
      </c>
    </row>
    <row r="21" spans="1:8">
      <c r="A21" s="316">
        <v>8</v>
      </c>
      <c r="B21" s="291"/>
      <c r="C21" s="291"/>
      <c r="D21" s="431">
        <f t="shared" si="0"/>
        <v>0</v>
      </c>
      <c r="E21" s="565"/>
      <c r="F21" s="315">
        <f t="shared" si="1"/>
        <v>0</v>
      </c>
      <c r="G21" s="817">
        <f t="shared" si="2"/>
        <v>0</v>
      </c>
      <c r="H21" s="816">
        <f t="shared" si="3"/>
        <v>0</v>
      </c>
    </row>
    <row r="22" spans="1:8">
      <c r="A22" s="316">
        <v>9</v>
      </c>
      <c r="B22" s="291"/>
      <c r="C22" s="291"/>
      <c r="D22" s="431">
        <f t="shared" si="0"/>
        <v>0</v>
      </c>
      <c r="E22" s="565"/>
      <c r="F22" s="315">
        <f t="shared" si="1"/>
        <v>0</v>
      </c>
      <c r="G22" s="817">
        <f t="shared" si="2"/>
        <v>0</v>
      </c>
      <c r="H22" s="816">
        <f t="shared" si="3"/>
        <v>0</v>
      </c>
    </row>
    <row r="23" spans="1:8">
      <c r="A23" s="317">
        <v>10</v>
      </c>
      <c r="B23" s="292"/>
      <c r="C23" s="292"/>
      <c r="D23" s="367">
        <f t="shared" si="0"/>
        <v>0</v>
      </c>
      <c r="E23" s="566"/>
      <c r="F23" s="315">
        <f t="shared" si="1"/>
        <v>0</v>
      </c>
      <c r="G23" s="817">
        <f t="shared" si="2"/>
        <v>0</v>
      </c>
      <c r="H23" s="816">
        <f t="shared" si="3"/>
        <v>0</v>
      </c>
    </row>
    <row r="24" spans="1:8">
      <c r="A24" s="436" t="s">
        <v>776</v>
      </c>
      <c r="B24" s="437"/>
      <c r="C24" s="438"/>
      <c r="D24" s="438"/>
      <c r="E24" s="428"/>
      <c r="F24" s="435">
        <f>SUM(F9:F23)</f>
        <v>0</v>
      </c>
      <c r="G24" s="907"/>
      <c r="H24" s="908"/>
    </row>
    <row r="25" spans="1:8" ht="13.5" thickTop="1"/>
    <row r="29" spans="1:8">
      <c r="A29" s="146"/>
      <c r="B29" s="146"/>
      <c r="C29" s="146"/>
      <c r="D29" s="146"/>
      <c r="E29" s="146"/>
      <c r="F29" s="146"/>
      <c r="G29" s="146"/>
      <c r="H29" s="146"/>
    </row>
    <row r="30" spans="1:8">
      <c r="A30" s="146"/>
      <c r="B30" s="146"/>
      <c r="C30" s="146"/>
      <c r="D30" s="146"/>
      <c r="E30" s="146"/>
      <c r="F30" s="146"/>
      <c r="G30" s="146"/>
      <c r="H30" s="146"/>
    </row>
    <row r="31" spans="1:8">
      <c r="A31" s="146"/>
      <c r="B31" s="146"/>
      <c r="C31" s="146"/>
      <c r="D31" s="146"/>
      <c r="E31" s="146"/>
      <c r="F31" s="146"/>
      <c r="G31" s="146"/>
      <c r="H31" s="146"/>
    </row>
    <row r="32" spans="1:8">
      <c r="A32" s="146"/>
      <c r="B32" s="146"/>
      <c r="C32" s="146"/>
      <c r="D32" s="146"/>
      <c r="E32" s="146"/>
      <c r="F32" s="146"/>
      <c r="G32" s="146"/>
      <c r="H32" s="146"/>
    </row>
    <row r="33" spans="1:8">
      <c r="A33" s="146"/>
      <c r="B33" s="146"/>
      <c r="C33" s="146"/>
      <c r="D33" s="146"/>
      <c r="E33" s="146"/>
      <c r="F33" s="146"/>
      <c r="G33" s="146"/>
      <c r="H33" s="146"/>
    </row>
    <row r="34" spans="1:8">
      <c r="A34" s="146"/>
      <c r="B34" s="146"/>
      <c r="C34" s="146"/>
      <c r="D34" s="146"/>
      <c r="E34" s="146"/>
      <c r="F34" s="146"/>
      <c r="G34" s="146"/>
      <c r="H34" s="146"/>
    </row>
    <row r="35" spans="1:8">
      <c r="A35" s="146"/>
      <c r="B35" s="146"/>
      <c r="C35" s="146"/>
      <c r="D35" s="146"/>
      <c r="E35" s="146"/>
      <c r="F35" s="146"/>
      <c r="G35" s="146"/>
      <c r="H35" s="146"/>
    </row>
    <row r="36" spans="1:8">
      <c r="A36" s="146"/>
      <c r="B36" s="146"/>
      <c r="C36" s="146"/>
      <c r="D36" s="146"/>
      <c r="E36" s="146"/>
      <c r="F36" s="146"/>
      <c r="G36" s="146"/>
      <c r="H36" s="146"/>
    </row>
    <row r="37" spans="1:8">
      <c r="A37" s="146"/>
      <c r="B37" s="146"/>
      <c r="C37" s="146"/>
      <c r="D37" s="146"/>
      <c r="E37" s="146"/>
      <c r="F37" s="146"/>
      <c r="G37" s="146"/>
      <c r="H37" s="146"/>
    </row>
    <row r="38" spans="1:8">
      <c r="A38" s="146"/>
      <c r="B38" s="146"/>
      <c r="C38" s="146"/>
      <c r="D38" s="146"/>
      <c r="E38" s="146"/>
      <c r="F38" s="146"/>
      <c r="G38" s="146"/>
      <c r="H38" s="146"/>
    </row>
    <row r="39" spans="1:8">
      <c r="A39" s="146"/>
      <c r="B39" s="146"/>
      <c r="C39" s="146"/>
      <c r="D39" s="146"/>
      <c r="E39" s="146"/>
      <c r="F39" s="146"/>
      <c r="G39" s="146"/>
      <c r="H39" s="146"/>
    </row>
    <row r="40" spans="1:8">
      <c r="A40" s="146"/>
      <c r="B40" s="146"/>
      <c r="C40" s="146"/>
      <c r="D40" s="146"/>
      <c r="E40" s="146"/>
      <c r="F40" s="146"/>
      <c r="G40" s="146"/>
      <c r="H40" s="146"/>
    </row>
    <row r="41" spans="1:8">
      <c r="A41" s="146"/>
      <c r="B41" s="146"/>
      <c r="C41" s="146"/>
      <c r="D41" s="146"/>
      <c r="E41" s="146"/>
      <c r="F41" s="146"/>
      <c r="G41" s="146"/>
      <c r="H41" s="146"/>
    </row>
    <row r="42" spans="1:8">
      <c r="A42" s="146"/>
      <c r="B42" s="146"/>
      <c r="C42" s="146"/>
      <c r="D42" s="146"/>
      <c r="E42" s="146"/>
      <c r="F42" s="146"/>
      <c r="G42" s="146"/>
      <c r="H42" s="146"/>
    </row>
    <row r="43" spans="1:8">
      <c r="A43" s="146"/>
      <c r="B43" s="146"/>
      <c r="C43" s="146"/>
      <c r="D43" s="146"/>
      <c r="E43" s="146"/>
      <c r="F43" s="146"/>
      <c r="G43" s="146"/>
      <c r="H43" s="146"/>
    </row>
    <row r="44" spans="1:8">
      <c r="A44" s="146"/>
      <c r="B44" s="146"/>
      <c r="C44" s="146"/>
      <c r="D44" s="146"/>
      <c r="E44" s="146"/>
      <c r="F44" s="146"/>
      <c r="G44" s="146"/>
      <c r="H44" s="146"/>
    </row>
    <row r="45" spans="1:8">
      <c r="A45" s="146"/>
      <c r="B45" s="146"/>
      <c r="C45" s="146"/>
      <c r="D45" s="146"/>
      <c r="E45" s="146"/>
      <c r="F45" s="146"/>
      <c r="G45" s="146"/>
      <c r="H45" s="146"/>
    </row>
    <row r="46" spans="1:8">
      <c r="A46" s="146"/>
      <c r="B46" s="146"/>
      <c r="C46" s="146"/>
      <c r="D46" s="146"/>
      <c r="E46" s="146"/>
      <c r="F46" s="146"/>
      <c r="G46" s="146"/>
      <c r="H46" s="146"/>
    </row>
    <row r="47" spans="1:8">
      <c r="A47" s="146"/>
      <c r="B47" s="146"/>
      <c r="C47" s="146"/>
      <c r="D47" s="146"/>
      <c r="E47" s="146"/>
      <c r="F47" s="146"/>
      <c r="G47" s="146"/>
      <c r="H47" s="146"/>
    </row>
    <row r="48" spans="1:8">
      <c r="A48" s="146"/>
      <c r="B48" s="146"/>
      <c r="C48" s="146"/>
      <c r="D48" s="146"/>
      <c r="E48" s="146"/>
      <c r="F48" s="146"/>
      <c r="G48" s="146"/>
      <c r="H48" s="146"/>
    </row>
    <row r="49" spans="1:8">
      <c r="A49" s="146"/>
      <c r="B49" s="146"/>
      <c r="C49" s="146"/>
      <c r="D49" s="146"/>
      <c r="E49" s="146"/>
      <c r="F49" s="146"/>
      <c r="G49" s="146"/>
      <c r="H49" s="146"/>
    </row>
    <row r="50" spans="1:8">
      <c r="A50" s="146"/>
      <c r="B50" s="146"/>
      <c r="C50" s="146"/>
      <c r="D50" s="146"/>
      <c r="E50" s="146"/>
      <c r="F50" s="146"/>
      <c r="G50" s="146"/>
      <c r="H50" s="146"/>
    </row>
    <row r="51" spans="1:8">
      <c r="A51" s="146"/>
      <c r="B51" s="146"/>
      <c r="C51" s="146"/>
      <c r="D51" s="146"/>
      <c r="E51" s="146"/>
      <c r="F51" s="146"/>
      <c r="G51" s="146"/>
      <c r="H51" s="146"/>
    </row>
    <row r="52" spans="1:8">
      <c r="A52" s="146"/>
      <c r="B52" s="146"/>
      <c r="C52" s="146"/>
      <c r="D52" s="146"/>
      <c r="E52" s="146"/>
      <c r="F52" s="146"/>
      <c r="G52" s="146"/>
      <c r="H52" s="146"/>
    </row>
    <row r="53" spans="1:8">
      <c r="A53" s="146"/>
      <c r="B53" s="146"/>
      <c r="C53" s="146"/>
      <c r="D53" s="146"/>
      <c r="E53" s="146"/>
      <c r="F53" s="146"/>
      <c r="G53" s="146"/>
      <c r="H53" s="146"/>
    </row>
    <row r="54" spans="1:8">
      <c r="A54" s="146"/>
      <c r="B54" s="146"/>
      <c r="C54" s="146"/>
      <c r="D54" s="146"/>
      <c r="E54" s="146"/>
      <c r="F54" s="146"/>
      <c r="G54" s="146"/>
      <c r="H54" s="146"/>
    </row>
    <row r="55" spans="1:8">
      <c r="A55" s="146"/>
      <c r="B55" s="146"/>
      <c r="C55" s="146"/>
      <c r="D55" s="146"/>
      <c r="E55" s="146"/>
      <c r="F55" s="146"/>
      <c r="G55" s="146"/>
      <c r="H55" s="146"/>
    </row>
    <row r="56" spans="1:8">
      <c r="A56" s="146"/>
      <c r="B56" s="146"/>
      <c r="C56" s="146"/>
      <c r="D56" s="146"/>
      <c r="E56" s="146"/>
      <c r="F56" s="146"/>
      <c r="G56" s="146"/>
      <c r="H56" s="146"/>
    </row>
    <row r="57" spans="1:8">
      <c r="A57" s="146"/>
      <c r="B57" s="146"/>
      <c r="C57" s="146"/>
      <c r="D57" s="146"/>
      <c r="E57" s="146"/>
      <c r="F57" s="146"/>
      <c r="G57" s="146"/>
      <c r="H57" s="146"/>
    </row>
    <row r="58" spans="1:8">
      <c r="A58" s="146"/>
      <c r="B58" s="146"/>
      <c r="C58" s="146"/>
      <c r="D58" s="146"/>
      <c r="E58" s="146"/>
      <c r="F58" s="146"/>
      <c r="G58" s="146"/>
      <c r="H58" s="146"/>
    </row>
    <row r="59" spans="1:8">
      <c r="A59" s="146"/>
      <c r="B59" s="146"/>
      <c r="C59" s="146"/>
      <c r="D59" s="146"/>
      <c r="E59" s="146"/>
      <c r="F59" s="146"/>
      <c r="G59" s="146"/>
      <c r="H59" s="146"/>
    </row>
    <row r="60" spans="1:8">
      <c r="A60" s="146"/>
      <c r="B60" s="146"/>
      <c r="C60" s="146"/>
      <c r="D60" s="146"/>
      <c r="E60" s="146"/>
      <c r="F60" s="146"/>
      <c r="G60" s="146"/>
      <c r="H60" s="146"/>
    </row>
    <row r="61" spans="1:8">
      <c r="A61" s="146"/>
      <c r="B61" s="146"/>
      <c r="C61" s="146"/>
      <c r="D61" s="146"/>
      <c r="E61" s="146"/>
      <c r="F61" s="146"/>
      <c r="G61" s="146"/>
      <c r="H61" s="146"/>
    </row>
    <row r="62" spans="1:8">
      <c r="A62" s="146"/>
      <c r="B62" s="146"/>
      <c r="C62" s="146"/>
      <c r="D62" s="146"/>
      <c r="E62" s="146"/>
      <c r="F62" s="146"/>
      <c r="G62" s="146"/>
      <c r="H62" s="146"/>
    </row>
    <row r="63" spans="1:8">
      <c r="A63" s="146"/>
      <c r="B63" s="146"/>
      <c r="C63" s="146"/>
      <c r="D63" s="146"/>
      <c r="E63" s="146"/>
      <c r="F63" s="146"/>
      <c r="G63" s="146"/>
      <c r="H63" s="146"/>
    </row>
    <row r="64" spans="1:8">
      <c r="A64" s="146"/>
      <c r="B64" s="146"/>
      <c r="C64" s="146"/>
      <c r="D64" s="146"/>
      <c r="E64" s="146"/>
      <c r="F64" s="146"/>
      <c r="G64" s="146"/>
      <c r="H64" s="146"/>
    </row>
    <row r="65" spans="1:8">
      <c r="A65" s="146"/>
      <c r="B65" s="146"/>
      <c r="C65" s="146"/>
      <c r="D65" s="146"/>
      <c r="E65" s="146"/>
      <c r="F65" s="146"/>
      <c r="G65" s="146"/>
      <c r="H65" s="146"/>
    </row>
    <row r="66" spans="1:8">
      <c r="A66" s="146"/>
      <c r="B66" s="146"/>
      <c r="C66" s="146"/>
      <c r="D66" s="146"/>
      <c r="E66" s="146"/>
      <c r="F66" s="146"/>
      <c r="G66" s="146"/>
      <c r="H66" s="146"/>
    </row>
    <row r="67" spans="1:8">
      <c r="A67" s="146"/>
      <c r="B67" s="146"/>
      <c r="C67" s="146"/>
      <c r="D67" s="146"/>
      <c r="E67" s="146"/>
      <c r="F67" s="146"/>
      <c r="G67" s="146"/>
      <c r="H67" s="146"/>
    </row>
    <row r="68" spans="1:8">
      <c r="A68" s="146"/>
      <c r="B68" s="146"/>
      <c r="C68" s="146"/>
      <c r="D68" s="146"/>
      <c r="E68" s="146"/>
      <c r="F68" s="146"/>
      <c r="G68" s="146"/>
      <c r="H68" s="146"/>
    </row>
    <row r="69" spans="1:8">
      <c r="A69" s="146"/>
      <c r="B69" s="146"/>
      <c r="C69" s="146"/>
      <c r="D69" s="146"/>
      <c r="E69" s="146"/>
      <c r="F69" s="146"/>
      <c r="G69" s="146"/>
      <c r="H69" s="146"/>
    </row>
    <row r="70" spans="1:8">
      <c r="A70" s="146"/>
      <c r="B70" s="146"/>
      <c r="C70" s="146"/>
      <c r="D70" s="146"/>
      <c r="E70" s="146"/>
      <c r="F70" s="146"/>
      <c r="G70" s="146"/>
      <c r="H70" s="146"/>
    </row>
    <row r="71" spans="1:8">
      <c r="A71" s="146"/>
      <c r="B71" s="146"/>
      <c r="C71" s="146"/>
      <c r="D71" s="146"/>
      <c r="E71" s="146"/>
      <c r="F71" s="146"/>
      <c r="G71" s="146"/>
      <c r="H71" s="146"/>
    </row>
    <row r="72" spans="1:8">
      <c r="A72" s="146"/>
      <c r="B72" s="146"/>
      <c r="C72" s="146"/>
      <c r="D72" s="146"/>
      <c r="E72" s="146"/>
      <c r="F72" s="146"/>
      <c r="G72" s="146"/>
      <c r="H72" s="146"/>
    </row>
    <row r="73" spans="1:8">
      <c r="A73" s="146"/>
      <c r="B73" s="146"/>
      <c r="C73" s="146"/>
      <c r="D73" s="146"/>
      <c r="E73" s="146"/>
      <c r="F73" s="146"/>
      <c r="G73" s="146"/>
      <c r="H73" s="146"/>
    </row>
    <row r="74" spans="1:8">
      <c r="A74" s="146"/>
      <c r="B74" s="146"/>
      <c r="C74" s="146"/>
      <c r="D74" s="146"/>
      <c r="E74" s="146"/>
      <c r="F74" s="146"/>
      <c r="G74" s="146"/>
      <c r="H74" s="146"/>
    </row>
    <row r="75" spans="1:8">
      <c r="A75" s="146"/>
      <c r="B75" s="146"/>
      <c r="C75" s="146"/>
      <c r="D75" s="146"/>
      <c r="E75" s="146"/>
      <c r="F75" s="146"/>
      <c r="G75" s="146"/>
      <c r="H75" s="146"/>
    </row>
    <row r="76" spans="1:8">
      <c r="A76" s="146"/>
      <c r="B76" s="146"/>
      <c r="C76" s="146"/>
      <c r="D76" s="146"/>
      <c r="E76" s="146"/>
      <c r="F76" s="146"/>
      <c r="G76" s="146"/>
      <c r="H76" s="146"/>
    </row>
    <row r="77" spans="1:8">
      <c r="A77" s="146"/>
      <c r="B77" s="146"/>
      <c r="C77" s="146"/>
      <c r="D77" s="146"/>
      <c r="E77" s="146"/>
      <c r="F77" s="146"/>
      <c r="G77" s="146"/>
      <c r="H77" s="146"/>
    </row>
    <row r="78" spans="1:8">
      <c r="A78" s="146"/>
      <c r="B78" s="146"/>
      <c r="C78" s="146"/>
      <c r="D78" s="146"/>
      <c r="E78" s="146"/>
      <c r="F78" s="146"/>
      <c r="G78" s="146"/>
      <c r="H78" s="146"/>
    </row>
    <row r="79" spans="1:8">
      <c r="A79" s="146"/>
      <c r="B79" s="146"/>
      <c r="C79" s="146"/>
      <c r="D79" s="146"/>
      <c r="E79" s="146"/>
      <c r="F79" s="146"/>
      <c r="G79" s="146"/>
      <c r="H79" s="146"/>
    </row>
    <row r="80" spans="1:8">
      <c r="A80" s="146"/>
      <c r="B80" s="146"/>
      <c r="C80" s="146"/>
      <c r="D80" s="146"/>
      <c r="E80" s="146"/>
      <c r="F80" s="146"/>
      <c r="G80" s="146"/>
      <c r="H80" s="146"/>
    </row>
    <row r="81" spans="1:8">
      <c r="A81" s="146"/>
      <c r="B81" s="146"/>
      <c r="C81" s="146"/>
      <c r="D81" s="146"/>
      <c r="E81" s="146"/>
      <c r="F81" s="146"/>
      <c r="G81" s="146"/>
      <c r="H81" s="146"/>
    </row>
    <row r="82" spans="1:8">
      <c r="A82" s="146"/>
      <c r="B82" s="146"/>
      <c r="C82" s="146"/>
      <c r="D82" s="146"/>
      <c r="E82" s="146"/>
      <c r="F82" s="146"/>
      <c r="G82" s="146"/>
      <c r="H82" s="146"/>
    </row>
    <row r="83" spans="1:8">
      <c r="A83" s="146"/>
      <c r="B83" s="146"/>
      <c r="C83" s="146"/>
      <c r="D83" s="146"/>
      <c r="E83" s="146"/>
      <c r="F83" s="146"/>
      <c r="G83" s="146"/>
      <c r="H83" s="146"/>
    </row>
    <row r="84" spans="1:8">
      <c r="A84" s="146"/>
      <c r="B84" s="146"/>
      <c r="C84" s="146"/>
      <c r="D84" s="146"/>
      <c r="E84" s="146"/>
      <c r="F84" s="146"/>
      <c r="G84" s="146"/>
      <c r="H84" s="146"/>
    </row>
    <row r="85" spans="1:8">
      <c r="A85" s="146"/>
      <c r="B85" s="146"/>
      <c r="C85" s="146"/>
      <c r="D85" s="146"/>
      <c r="E85" s="146"/>
      <c r="F85" s="146"/>
      <c r="G85" s="146"/>
      <c r="H85" s="146"/>
    </row>
    <row r="86" spans="1:8">
      <c r="A86" s="146"/>
      <c r="B86" s="146"/>
      <c r="C86" s="146"/>
      <c r="D86" s="146"/>
      <c r="E86" s="146"/>
      <c r="F86" s="146"/>
      <c r="G86" s="146"/>
      <c r="H86" s="146"/>
    </row>
    <row r="87" spans="1:8">
      <c r="A87" s="146"/>
      <c r="B87" s="146"/>
      <c r="C87" s="146"/>
      <c r="D87" s="146"/>
      <c r="E87" s="146"/>
      <c r="F87" s="146"/>
      <c r="G87" s="146"/>
      <c r="H87" s="146"/>
    </row>
    <row r="88" spans="1:8">
      <c r="A88" s="146"/>
      <c r="B88" s="146"/>
      <c r="C88" s="146"/>
      <c r="D88" s="146"/>
      <c r="E88" s="146"/>
      <c r="F88" s="146"/>
      <c r="G88" s="146"/>
      <c r="H88" s="146"/>
    </row>
    <row r="89" spans="1:8">
      <c r="A89" s="146"/>
      <c r="B89" s="146"/>
      <c r="C89" s="146"/>
      <c r="D89" s="146"/>
      <c r="E89" s="146"/>
      <c r="F89" s="146"/>
      <c r="G89" s="146"/>
      <c r="H89" s="146"/>
    </row>
    <row r="90" spans="1:8">
      <c r="A90" s="146"/>
      <c r="B90" s="146"/>
      <c r="C90" s="146"/>
      <c r="D90" s="146"/>
      <c r="E90" s="146"/>
      <c r="F90" s="146"/>
      <c r="G90" s="146"/>
      <c r="H90" s="146"/>
    </row>
    <row r="91" spans="1:8">
      <c r="A91" s="146"/>
      <c r="B91" s="146"/>
      <c r="C91" s="146"/>
      <c r="D91" s="146"/>
      <c r="E91" s="146"/>
      <c r="F91" s="146"/>
      <c r="G91" s="146"/>
      <c r="H91" s="146"/>
    </row>
    <row r="92" spans="1:8">
      <c r="A92" s="146"/>
      <c r="B92" s="146"/>
      <c r="C92" s="146"/>
      <c r="D92" s="146"/>
      <c r="E92" s="146"/>
      <c r="F92" s="146"/>
      <c r="G92" s="146"/>
      <c r="H92" s="146"/>
    </row>
    <row r="93" spans="1:8">
      <c r="A93" s="146"/>
      <c r="B93" s="146"/>
      <c r="C93" s="146"/>
      <c r="D93" s="146"/>
      <c r="E93" s="146"/>
      <c r="F93" s="146"/>
      <c r="G93" s="146"/>
      <c r="H93" s="146"/>
    </row>
    <row r="94" spans="1:8">
      <c r="A94" s="146"/>
      <c r="B94" s="146"/>
      <c r="C94" s="146"/>
      <c r="D94" s="146"/>
      <c r="E94" s="146"/>
      <c r="F94" s="146"/>
      <c r="G94" s="146"/>
      <c r="H94" s="146"/>
    </row>
    <row r="95" spans="1:8">
      <c r="A95" s="146"/>
      <c r="B95" s="146"/>
      <c r="C95" s="146"/>
      <c r="D95" s="146"/>
      <c r="E95" s="146"/>
      <c r="F95" s="146"/>
      <c r="G95" s="146"/>
      <c r="H95" s="146"/>
    </row>
    <row r="96" spans="1:8">
      <c r="A96" s="146"/>
      <c r="B96" s="146"/>
      <c r="C96" s="146"/>
      <c r="D96" s="146"/>
      <c r="E96" s="146"/>
      <c r="F96" s="146"/>
      <c r="G96" s="146"/>
      <c r="H96" s="146"/>
    </row>
    <row r="97" spans="1:8">
      <c r="A97" s="146"/>
      <c r="B97" s="146"/>
      <c r="C97" s="146"/>
      <c r="D97" s="146"/>
      <c r="E97" s="146"/>
      <c r="F97" s="146"/>
      <c r="G97" s="146"/>
      <c r="H97" s="146"/>
    </row>
    <row r="98" spans="1:8">
      <c r="A98" s="146"/>
      <c r="B98" s="146"/>
      <c r="C98" s="146"/>
      <c r="D98" s="146"/>
      <c r="E98" s="146"/>
      <c r="F98" s="146"/>
      <c r="G98" s="146"/>
      <c r="H98" s="146"/>
    </row>
    <row r="99" spans="1:8">
      <c r="A99" s="146"/>
      <c r="B99" s="146"/>
      <c r="C99" s="146"/>
      <c r="D99" s="146"/>
      <c r="E99" s="146"/>
      <c r="F99" s="146"/>
      <c r="G99" s="146"/>
      <c r="H99" s="146"/>
    </row>
    <row r="100" spans="1:8">
      <c r="A100" s="146"/>
      <c r="B100" s="146"/>
      <c r="C100" s="146"/>
      <c r="D100" s="146"/>
      <c r="E100" s="146"/>
      <c r="F100" s="146"/>
      <c r="G100" s="146"/>
      <c r="H100" s="146"/>
    </row>
    <row r="101" spans="1:8">
      <c r="A101" s="146"/>
      <c r="B101" s="146"/>
      <c r="C101" s="146"/>
      <c r="D101" s="146"/>
      <c r="E101" s="146"/>
      <c r="F101" s="146"/>
      <c r="G101" s="146"/>
      <c r="H101" s="146"/>
    </row>
    <row r="102" spans="1:8">
      <c r="A102" s="146"/>
      <c r="B102" s="146"/>
      <c r="C102" s="146"/>
      <c r="D102" s="146"/>
      <c r="E102" s="146"/>
      <c r="F102" s="146"/>
      <c r="G102" s="146"/>
      <c r="H102" s="146"/>
    </row>
    <row r="103" spans="1:8">
      <c r="A103" s="146"/>
      <c r="B103" s="146"/>
      <c r="C103" s="146"/>
      <c r="D103" s="146"/>
      <c r="E103" s="146"/>
      <c r="F103" s="146"/>
      <c r="G103" s="146"/>
      <c r="H103" s="146"/>
    </row>
    <row r="104" spans="1:8">
      <c r="A104" s="146"/>
      <c r="B104" s="146"/>
      <c r="C104" s="146"/>
      <c r="D104" s="146"/>
      <c r="E104" s="146"/>
      <c r="F104" s="146"/>
      <c r="G104" s="146"/>
      <c r="H104" s="146"/>
    </row>
    <row r="105" spans="1:8">
      <c r="A105" s="146"/>
      <c r="B105" s="146"/>
      <c r="C105" s="146"/>
      <c r="D105" s="146"/>
      <c r="E105" s="146"/>
      <c r="F105" s="146"/>
      <c r="G105" s="146"/>
      <c r="H105" s="146"/>
    </row>
    <row r="106" spans="1:8">
      <c r="A106" s="146"/>
      <c r="B106" s="146"/>
      <c r="C106" s="146"/>
      <c r="D106" s="146"/>
      <c r="E106" s="146"/>
      <c r="F106" s="146"/>
      <c r="G106" s="146"/>
      <c r="H106" s="146"/>
    </row>
    <row r="107" spans="1:8">
      <c r="A107" s="146"/>
      <c r="B107" s="146"/>
      <c r="C107" s="146"/>
      <c r="D107" s="146"/>
      <c r="E107" s="146"/>
      <c r="F107" s="146"/>
      <c r="G107" s="146"/>
      <c r="H107" s="146"/>
    </row>
    <row r="108" spans="1:8">
      <c r="A108" s="146"/>
      <c r="B108" s="146"/>
      <c r="C108" s="146"/>
      <c r="D108" s="146"/>
      <c r="E108" s="146"/>
      <c r="F108" s="146"/>
      <c r="G108" s="146"/>
      <c r="H108" s="146"/>
    </row>
    <row r="109" spans="1:8">
      <c r="A109" s="146"/>
      <c r="B109" s="146"/>
      <c r="C109" s="146"/>
      <c r="D109" s="146"/>
      <c r="E109" s="146"/>
      <c r="F109" s="146"/>
      <c r="G109" s="146"/>
      <c r="H109" s="146"/>
    </row>
    <row r="110" spans="1:8">
      <c r="A110" s="146"/>
      <c r="B110" s="146"/>
      <c r="C110" s="146"/>
      <c r="D110" s="146"/>
      <c r="E110" s="146"/>
      <c r="F110" s="146"/>
      <c r="G110" s="146"/>
      <c r="H110" s="146"/>
    </row>
    <row r="111" spans="1:8">
      <c r="A111" s="146"/>
      <c r="B111" s="146"/>
      <c r="C111" s="146"/>
      <c r="D111" s="146"/>
      <c r="E111" s="146"/>
      <c r="F111" s="146"/>
      <c r="G111" s="146"/>
      <c r="H111" s="146"/>
    </row>
    <row r="112" spans="1:8">
      <c r="A112" s="146"/>
      <c r="B112" s="146"/>
      <c r="C112" s="146"/>
      <c r="D112" s="146"/>
      <c r="E112" s="146"/>
      <c r="F112" s="146"/>
      <c r="G112" s="146"/>
      <c r="H112" s="146"/>
    </row>
    <row r="113" spans="1:8">
      <c r="A113" s="146"/>
      <c r="B113" s="146"/>
      <c r="C113" s="146"/>
      <c r="D113" s="146"/>
      <c r="E113" s="146"/>
      <c r="F113" s="146"/>
      <c r="G113" s="146"/>
      <c r="H113" s="146"/>
    </row>
    <row r="114" spans="1:8">
      <c r="A114" s="146"/>
      <c r="B114" s="146"/>
      <c r="C114" s="146"/>
      <c r="D114" s="146"/>
      <c r="E114" s="146"/>
      <c r="F114" s="146"/>
      <c r="G114" s="146"/>
      <c r="H114" s="146"/>
    </row>
    <row r="115" spans="1:8">
      <c r="A115" s="146"/>
      <c r="B115" s="146"/>
      <c r="C115" s="146"/>
      <c r="D115" s="146"/>
      <c r="E115" s="146"/>
      <c r="F115" s="146"/>
      <c r="G115" s="146"/>
      <c r="H115" s="146"/>
    </row>
    <row r="116" spans="1:8">
      <c r="A116" s="146"/>
      <c r="B116" s="146"/>
      <c r="C116" s="146"/>
      <c r="D116" s="146"/>
      <c r="E116" s="146"/>
      <c r="F116" s="146"/>
      <c r="G116" s="146"/>
      <c r="H116" s="146"/>
    </row>
    <row r="117" spans="1:8">
      <c r="A117" s="146"/>
      <c r="B117" s="146"/>
      <c r="C117" s="146"/>
      <c r="D117" s="146"/>
      <c r="E117" s="146"/>
      <c r="F117" s="146"/>
      <c r="G117" s="146"/>
      <c r="H117" s="146"/>
    </row>
    <row r="118" spans="1:8">
      <c r="A118" s="146"/>
      <c r="B118" s="146"/>
      <c r="C118" s="146"/>
      <c r="D118" s="146"/>
      <c r="E118" s="146"/>
      <c r="F118" s="146"/>
      <c r="G118" s="146"/>
      <c r="H118" s="146"/>
    </row>
    <row r="119" spans="1:8">
      <c r="A119" s="146"/>
      <c r="B119" s="146"/>
      <c r="C119" s="146"/>
      <c r="D119" s="146"/>
      <c r="E119" s="146"/>
      <c r="F119" s="146"/>
      <c r="G119" s="146"/>
      <c r="H119" s="146"/>
    </row>
    <row r="120" spans="1:8">
      <c r="A120" s="146"/>
      <c r="B120" s="146"/>
      <c r="C120" s="146"/>
      <c r="D120" s="146"/>
      <c r="E120" s="146"/>
      <c r="F120" s="146"/>
      <c r="G120" s="146"/>
      <c r="H120" s="146"/>
    </row>
    <row r="121" spans="1:8">
      <c r="A121" s="146"/>
      <c r="B121" s="146"/>
      <c r="C121" s="146"/>
      <c r="D121" s="146"/>
      <c r="E121" s="146"/>
      <c r="F121" s="146"/>
      <c r="G121" s="146"/>
      <c r="H121" s="146"/>
    </row>
    <row r="122" spans="1:8">
      <c r="A122" s="146"/>
      <c r="B122" s="146"/>
      <c r="C122" s="146"/>
      <c r="D122" s="146"/>
      <c r="E122" s="146"/>
      <c r="F122" s="146"/>
      <c r="G122" s="146"/>
      <c r="H122" s="146"/>
    </row>
    <row r="123" spans="1:8">
      <c r="A123" s="146"/>
      <c r="B123" s="146"/>
      <c r="C123" s="146"/>
      <c r="D123" s="146"/>
      <c r="E123" s="146"/>
      <c r="F123" s="146"/>
      <c r="G123" s="146"/>
      <c r="H123" s="146"/>
    </row>
    <row r="124" spans="1:8">
      <c r="A124" s="146"/>
      <c r="B124" s="146"/>
      <c r="C124" s="146"/>
      <c r="D124" s="146"/>
      <c r="E124" s="146"/>
      <c r="F124" s="146"/>
      <c r="G124" s="146"/>
      <c r="H124" s="146"/>
    </row>
    <row r="125" spans="1:8">
      <c r="A125" s="146"/>
      <c r="B125" s="146"/>
      <c r="C125" s="146"/>
      <c r="D125" s="146"/>
      <c r="E125" s="146"/>
      <c r="F125" s="146"/>
      <c r="G125" s="146"/>
      <c r="H125" s="146"/>
    </row>
    <row r="126" spans="1:8">
      <c r="A126" s="146"/>
      <c r="B126" s="146"/>
      <c r="C126" s="146"/>
      <c r="D126" s="146"/>
      <c r="E126" s="146"/>
      <c r="F126" s="146"/>
      <c r="G126" s="146"/>
      <c r="H126" s="146"/>
    </row>
    <row r="127" spans="1:8">
      <c r="A127" s="146"/>
      <c r="B127" s="146"/>
      <c r="C127" s="146"/>
      <c r="D127" s="146"/>
      <c r="E127" s="146"/>
      <c r="F127" s="146"/>
      <c r="G127" s="146"/>
      <c r="H127" s="146"/>
    </row>
    <row r="128" spans="1:8">
      <c r="A128" s="146"/>
      <c r="B128" s="146"/>
      <c r="C128" s="146"/>
      <c r="D128" s="146"/>
      <c r="E128" s="146"/>
      <c r="F128" s="146"/>
      <c r="G128" s="146"/>
      <c r="H128" s="146"/>
    </row>
    <row r="129" spans="1:8">
      <c r="A129" s="146"/>
      <c r="B129" s="146"/>
      <c r="C129" s="146"/>
      <c r="D129" s="146"/>
      <c r="E129" s="146"/>
      <c r="F129" s="146"/>
      <c r="G129" s="146"/>
      <c r="H129" s="146"/>
    </row>
    <row r="130" spans="1:8">
      <c r="A130" s="146"/>
      <c r="B130" s="146"/>
      <c r="C130" s="146"/>
      <c r="D130" s="146"/>
      <c r="E130" s="146"/>
      <c r="F130" s="146"/>
      <c r="G130" s="146"/>
      <c r="H130" s="146"/>
    </row>
    <row r="131" spans="1:8">
      <c r="A131" s="146"/>
      <c r="B131" s="146"/>
      <c r="C131" s="146"/>
      <c r="D131" s="146"/>
      <c r="E131" s="146"/>
      <c r="F131" s="146"/>
      <c r="G131" s="146"/>
      <c r="H131" s="146"/>
    </row>
    <row r="132" spans="1:8">
      <c r="A132" s="146"/>
      <c r="B132" s="146"/>
      <c r="C132" s="146"/>
      <c r="D132" s="146"/>
      <c r="E132" s="146"/>
      <c r="F132" s="146"/>
      <c r="G132" s="146"/>
      <c r="H132" s="146"/>
    </row>
    <row r="133" spans="1:8">
      <c r="A133" s="146"/>
      <c r="B133" s="146"/>
      <c r="C133" s="146"/>
      <c r="D133" s="146"/>
      <c r="E133" s="146"/>
      <c r="F133" s="146"/>
      <c r="G133" s="146"/>
      <c r="H133" s="146"/>
    </row>
    <row r="134" spans="1:8">
      <c r="A134" s="146"/>
      <c r="B134" s="146"/>
      <c r="C134" s="146"/>
      <c r="D134" s="146"/>
      <c r="E134" s="146"/>
      <c r="F134" s="146"/>
      <c r="G134" s="146"/>
      <c r="H134" s="146"/>
    </row>
    <row r="135" spans="1:8">
      <c r="A135" s="146"/>
      <c r="B135" s="146"/>
      <c r="C135" s="146"/>
      <c r="D135" s="146"/>
      <c r="E135" s="146"/>
      <c r="F135" s="146"/>
      <c r="G135" s="146"/>
      <c r="H135" s="146"/>
    </row>
    <row r="136" spans="1:8">
      <c r="A136" s="146"/>
      <c r="B136" s="146"/>
      <c r="C136" s="146"/>
      <c r="D136" s="146"/>
      <c r="E136" s="146"/>
      <c r="F136" s="146"/>
      <c r="G136" s="146"/>
      <c r="H136" s="146"/>
    </row>
    <row r="137" spans="1:8">
      <c r="A137" s="146"/>
      <c r="B137" s="146"/>
      <c r="C137" s="146"/>
      <c r="D137" s="146"/>
      <c r="E137" s="146"/>
      <c r="F137" s="146"/>
      <c r="G137" s="146"/>
      <c r="H137" s="146"/>
    </row>
    <row r="138" spans="1:8">
      <c r="A138" s="146"/>
      <c r="B138" s="146"/>
      <c r="C138" s="146"/>
      <c r="D138" s="146"/>
      <c r="E138" s="146"/>
      <c r="F138" s="146"/>
      <c r="G138" s="146"/>
      <c r="H138" s="146"/>
    </row>
    <row r="139" spans="1:8">
      <c r="A139" s="146"/>
      <c r="B139" s="146"/>
      <c r="C139" s="146"/>
      <c r="D139" s="146"/>
      <c r="E139" s="146"/>
      <c r="F139" s="146"/>
      <c r="G139" s="146"/>
      <c r="H139" s="146"/>
    </row>
    <row r="140" spans="1:8">
      <c r="A140" s="146"/>
      <c r="B140" s="146"/>
      <c r="C140" s="146"/>
      <c r="D140" s="146"/>
      <c r="E140" s="146"/>
      <c r="F140" s="146"/>
      <c r="G140" s="146"/>
      <c r="H140" s="146"/>
    </row>
    <row r="141" spans="1:8">
      <c r="A141" s="146"/>
      <c r="B141" s="146"/>
      <c r="C141" s="146"/>
      <c r="D141" s="146"/>
      <c r="E141" s="146"/>
      <c r="F141" s="146"/>
      <c r="G141" s="146"/>
      <c r="H141" s="146"/>
    </row>
    <row r="142" spans="1:8">
      <c r="A142" s="146"/>
      <c r="B142" s="146"/>
      <c r="C142" s="146"/>
      <c r="D142" s="146"/>
      <c r="E142" s="146"/>
      <c r="F142" s="146"/>
      <c r="G142" s="146"/>
      <c r="H142" s="146"/>
    </row>
    <row r="143" spans="1:8">
      <c r="A143" s="146"/>
      <c r="B143" s="146"/>
      <c r="C143" s="146"/>
      <c r="D143" s="146"/>
      <c r="E143" s="146"/>
      <c r="F143" s="146"/>
      <c r="G143" s="146"/>
      <c r="H143" s="146"/>
    </row>
    <row r="144" spans="1:8">
      <c r="A144" s="146"/>
      <c r="B144" s="146"/>
      <c r="C144" s="146"/>
      <c r="D144" s="146"/>
      <c r="E144" s="146"/>
      <c r="F144" s="146"/>
      <c r="G144" s="146"/>
      <c r="H144" s="146"/>
    </row>
    <row r="145" spans="1:8">
      <c r="A145" s="146"/>
      <c r="B145" s="146"/>
      <c r="C145" s="146"/>
      <c r="D145" s="146"/>
      <c r="E145" s="146"/>
      <c r="F145" s="146"/>
      <c r="G145" s="146"/>
      <c r="H145" s="146"/>
    </row>
    <row r="146" spans="1:8">
      <c r="A146" s="146"/>
      <c r="B146" s="146"/>
      <c r="C146" s="146"/>
      <c r="D146" s="146"/>
      <c r="E146" s="146"/>
      <c r="F146" s="146"/>
      <c r="G146" s="146"/>
      <c r="H146" s="146"/>
    </row>
    <row r="147" spans="1:8">
      <c r="A147" s="146"/>
      <c r="B147" s="146"/>
      <c r="C147" s="146"/>
      <c r="D147" s="146"/>
      <c r="E147" s="146"/>
      <c r="F147" s="146"/>
      <c r="G147" s="146"/>
      <c r="H147" s="146"/>
    </row>
    <row r="148" spans="1:8">
      <c r="A148" s="146"/>
      <c r="B148" s="146"/>
      <c r="C148" s="146"/>
      <c r="D148" s="146"/>
      <c r="E148" s="146"/>
      <c r="F148" s="146"/>
      <c r="G148" s="146"/>
      <c r="H148" s="146"/>
    </row>
    <row r="149" spans="1:8">
      <c r="A149" s="146"/>
      <c r="B149" s="146"/>
      <c r="C149" s="146"/>
      <c r="D149" s="146"/>
      <c r="E149" s="146"/>
      <c r="F149" s="146"/>
      <c r="G149" s="146"/>
      <c r="H149" s="146"/>
    </row>
    <row r="150" spans="1:8">
      <c r="A150" s="146"/>
      <c r="B150" s="146"/>
      <c r="C150" s="146"/>
      <c r="D150" s="146"/>
      <c r="E150" s="146"/>
      <c r="F150" s="146"/>
      <c r="G150" s="146"/>
      <c r="H150" s="146"/>
    </row>
    <row r="151" spans="1:8">
      <c r="A151" s="146"/>
      <c r="B151" s="146"/>
      <c r="C151" s="146"/>
      <c r="D151" s="146"/>
      <c r="E151" s="146"/>
      <c r="F151" s="146"/>
      <c r="G151" s="146"/>
      <c r="H151" s="146"/>
    </row>
    <row r="152" spans="1:8">
      <c r="A152" s="146"/>
      <c r="B152" s="146"/>
      <c r="C152" s="146"/>
      <c r="D152" s="146"/>
      <c r="E152" s="146"/>
      <c r="F152" s="146"/>
      <c r="G152" s="146"/>
      <c r="H152" s="146"/>
    </row>
    <row r="153" spans="1:8">
      <c r="A153" s="146"/>
      <c r="B153" s="146"/>
      <c r="C153" s="146"/>
      <c r="D153" s="146"/>
      <c r="E153" s="146"/>
      <c r="F153" s="146"/>
      <c r="G153" s="146"/>
      <c r="H153" s="146"/>
    </row>
    <row r="154" spans="1:8">
      <c r="A154" s="146"/>
      <c r="B154" s="146"/>
      <c r="C154" s="146"/>
      <c r="D154" s="146"/>
      <c r="E154" s="146"/>
      <c r="F154" s="146"/>
      <c r="G154" s="146"/>
      <c r="H154" s="146"/>
    </row>
    <row r="155" spans="1:8">
      <c r="A155" s="146"/>
      <c r="B155" s="146"/>
      <c r="C155" s="146"/>
      <c r="D155" s="146"/>
      <c r="E155" s="146"/>
      <c r="F155" s="146"/>
      <c r="G155" s="146"/>
      <c r="H155" s="146"/>
    </row>
    <row r="156" spans="1:8">
      <c r="A156" s="146"/>
      <c r="B156" s="146"/>
      <c r="C156" s="146"/>
      <c r="D156" s="146"/>
      <c r="E156" s="146"/>
      <c r="F156" s="146"/>
      <c r="G156" s="146"/>
      <c r="H156" s="146"/>
    </row>
    <row r="157" spans="1:8">
      <c r="A157" s="146"/>
      <c r="B157" s="146"/>
      <c r="C157" s="146"/>
      <c r="D157" s="146"/>
      <c r="E157" s="146"/>
      <c r="F157" s="146"/>
      <c r="G157" s="146"/>
      <c r="H157" s="146"/>
    </row>
    <row r="158" spans="1:8">
      <c r="A158" s="146"/>
      <c r="B158" s="146"/>
      <c r="C158" s="146"/>
      <c r="D158" s="146"/>
      <c r="E158" s="146"/>
      <c r="F158" s="146"/>
      <c r="G158" s="146"/>
      <c r="H158" s="146"/>
    </row>
    <row r="159" spans="1:8">
      <c r="A159" s="146"/>
      <c r="B159" s="146"/>
      <c r="C159" s="146"/>
      <c r="D159" s="146"/>
      <c r="E159" s="146"/>
      <c r="F159" s="146"/>
      <c r="G159" s="146"/>
      <c r="H159" s="146"/>
    </row>
  </sheetData>
  <sheetProtection password="9399" sheet="1" objects="1" scenarios="1"/>
  <customSheetViews>
    <customSheetView guid="{504CC784-4394-4648-B9CE-DFC32001696E}" showGridLines="0" fitToPage="1" showRuler="0">
      <pane xSplit="2" ySplit="5" topLeftCell="C6" activePane="bottomRight" state="frozen"/>
      <selection pane="bottomRight" activeCell="C13" sqref="C13"/>
      <pageMargins left="0" right="0" top="0" bottom="0" header="0" footer="0"/>
      <printOptions horizontalCentered="1"/>
      <pageSetup scale="90" orientation="landscape" r:id="rId1"/>
      <headerFooter alignWithMargins="0"/>
    </customSheetView>
  </customSheetViews>
  <mergeCells count="1">
    <mergeCell ref="G24:H24"/>
  </mergeCells>
  <phoneticPr fontId="22" type="noConversion"/>
  <printOptions horizontalCentered="1"/>
  <pageMargins left="0.75" right="0.75" top="1" bottom="1" header="0.5" footer="0.5"/>
  <pageSetup scale="90" orientation="landscape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685800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685800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4921-6D4D-40AB-BEC9-9574C18D2AC1}">
  <sheetPr codeName="Sheet20">
    <pageSetUpPr fitToPage="1"/>
  </sheetPr>
  <dimension ref="A1:M34"/>
  <sheetViews>
    <sheetView showGridLines="0" zoomScaleNormal="100" workbookViewId="0">
      <pane xSplit="2" ySplit="3" topLeftCell="C4" activePane="bottomRight" state="frozen"/>
      <selection pane="bottomRight" activeCell="F24" sqref="F24"/>
      <selection pane="bottomLeft" activeCell="Q5" sqref="Q5"/>
      <selection pane="topRight" activeCell="Q5" sqref="Q5"/>
    </sheetView>
  </sheetViews>
  <sheetFormatPr defaultColWidth="9.28515625" defaultRowHeight="12.75"/>
  <cols>
    <col min="1" max="1" width="6.7109375" customWidth="1"/>
    <col min="2" max="2" width="10.5703125" customWidth="1"/>
    <col min="3" max="3" width="10.42578125" customWidth="1"/>
    <col min="6" max="6" width="17" style="69" bestFit="1" customWidth="1"/>
    <col min="8" max="8" width="4.7109375" customWidth="1"/>
    <col min="9" max="9" width="15.7109375" customWidth="1"/>
    <col min="13" max="13" width="17" style="224" bestFit="1" customWidth="1"/>
  </cols>
  <sheetData>
    <row r="1" spans="1:13">
      <c r="A1" s="156" t="str">
        <f>'trial balance'!A1</f>
        <v>NAME OF THE TRADING PARTICIPANT</v>
      </c>
      <c r="B1" s="124"/>
      <c r="C1" s="124"/>
      <c r="D1" s="124"/>
      <c r="E1" s="124"/>
      <c r="F1" s="223"/>
      <c r="G1" s="124"/>
      <c r="H1" s="124"/>
      <c r="I1" s="124"/>
      <c r="J1" s="124"/>
      <c r="K1" s="124"/>
      <c r="L1" s="124"/>
      <c r="M1" s="223"/>
    </row>
    <row r="2" spans="1:13">
      <c r="A2" s="156" t="s">
        <v>785</v>
      </c>
      <c r="B2" s="124"/>
      <c r="C2" s="124"/>
      <c r="D2" s="124"/>
      <c r="E2" s="124"/>
      <c r="F2" s="223"/>
      <c r="G2" s="124"/>
      <c r="H2" s="124"/>
      <c r="I2" s="124"/>
      <c r="J2" s="124"/>
      <c r="K2" s="124"/>
      <c r="L2" s="124"/>
      <c r="M2" s="223"/>
    </row>
    <row r="3" spans="1:13">
      <c r="A3" s="464" t="str">
        <f>+'trial balance'!A3</f>
        <v>mm/dd/yyyy</v>
      </c>
      <c r="B3" s="463"/>
      <c r="C3" s="463"/>
      <c r="D3" s="463"/>
      <c r="E3" s="463"/>
      <c r="F3" s="555"/>
      <c r="G3" s="463"/>
      <c r="H3" s="463"/>
      <c r="I3" s="463"/>
      <c r="J3" s="463"/>
      <c r="K3" s="463"/>
      <c r="L3" s="463"/>
      <c r="M3" s="555"/>
    </row>
    <row r="4" spans="1:13">
      <c r="F4" s="224"/>
    </row>
    <row r="5" spans="1:13">
      <c r="F5" s="224"/>
    </row>
    <row r="6" spans="1:13">
      <c r="B6" s="881" t="s">
        <v>786</v>
      </c>
      <c r="C6" s="881"/>
      <c r="F6" s="224"/>
      <c r="I6" s="1" t="s">
        <v>787</v>
      </c>
      <c r="J6" s="1"/>
      <c r="K6" s="1"/>
      <c r="L6" s="1"/>
    </row>
    <row r="7" spans="1:13">
      <c r="F7" s="224"/>
    </row>
    <row r="8" spans="1:13">
      <c r="A8" t="s">
        <v>788</v>
      </c>
      <c r="B8" s="807"/>
      <c r="F8" s="224"/>
      <c r="H8" s="909" t="s">
        <v>789</v>
      </c>
      <c r="I8" s="909"/>
      <c r="M8" s="225">
        <f>+'Financial Statements'!J76</f>
        <v>0</v>
      </c>
    </row>
    <row r="9" spans="1:13">
      <c r="F9" s="224"/>
    </row>
    <row r="10" spans="1:13">
      <c r="B10" t="s">
        <v>790</v>
      </c>
      <c r="F10" s="224">
        <f>'Financial Statements'!J16</f>
        <v>0</v>
      </c>
    </row>
    <row r="11" spans="1:13">
      <c r="B11" t="s">
        <v>791</v>
      </c>
      <c r="F11" s="224">
        <f>+'Financial Statements'!J19-Placement!C46-Placement!C56</f>
        <v>0</v>
      </c>
      <c r="H11" s="909" t="s">
        <v>792</v>
      </c>
      <c r="I11" s="909"/>
      <c r="M11" s="225">
        <f>+'Financial Statements'!J91+'Financial Statements'!J92+'Financial Statements'!J93+'Financial Statements'!J94+'Financial Statements'!J98+'Financial Statements'!J100</f>
        <v>0</v>
      </c>
    </row>
    <row r="12" spans="1:13">
      <c r="B12" t="s">
        <v>793</v>
      </c>
      <c r="F12" s="224">
        <f>+'Financial Statements'!J20</f>
        <v>0</v>
      </c>
    </row>
    <row r="13" spans="1:13">
      <c r="B13" t="s">
        <v>794</v>
      </c>
      <c r="F13" s="224">
        <f>+'Financial Statements'!I27</f>
        <v>0</v>
      </c>
    </row>
    <row r="14" spans="1:13">
      <c r="B14" t="s">
        <v>208</v>
      </c>
      <c r="F14" s="224">
        <f>+'Financial Statements'!I28</f>
        <v>0</v>
      </c>
      <c r="H14" t="s">
        <v>795</v>
      </c>
      <c r="M14" s="224">
        <f>-SUM(RBC!C14:C16)+'Financial Statements'!J99-RBC!C12</f>
        <v>0</v>
      </c>
    </row>
    <row r="15" spans="1:13">
      <c r="B15" t="s">
        <v>796</v>
      </c>
      <c r="F15" s="224">
        <f>+'Financial Statements'!I29</f>
        <v>0</v>
      </c>
    </row>
    <row r="16" spans="1:13">
      <c r="B16" t="s">
        <v>210</v>
      </c>
      <c r="F16" s="224">
        <f>+'Financial Statements'!I30</f>
        <v>0</v>
      </c>
      <c r="H16" t="s">
        <v>797</v>
      </c>
      <c r="M16" s="224">
        <f>-(+RBC!C13)</f>
        <v>0</v>
      </c>
    </row>
    <row r="17" spans="1:13">
      <c r="B17" t="s">
        <v>211</v>
      </c>
      <c r="F17" s="224">
        <f>+'Financial Statements'!I31</f>
        <v>0</v>
      </c>
    </row>
    <row r="18" spans="1:13">
      <c r="B18" t="s">
        <v>798</v>
      </c>
      <c r="F18" s="224">
        <f>+'Financial Statements'!J38</f>
        <v>0</v>
      </c>
    </row>
    <row r="19" spans="1:13">
      <c r="B19" t="s">
        <v>799</v>
      </c>
      <c r="F19" s="224">
        <f>+Placement!C66+Placement!C76</f>
        <v>0</v>
      </c>
    </row>
    <row r="20" spans="1:13">
      <c r="A20" t="s">
        <v>800</v>
      </c>
      <c r="B20" t="s">
        <v>207</v>
      </c>
      <c r="F20" s="224">
        <f>+'Financial Statements'!I37</f>
        <v>0</v>
      </c>
      <c r="H20" t="s">
        <v>116</v>
      </c>
      <c r="M20" s="226">
        <f>SUM(M8:M19)</f>
        <v>0</v>
      </c>
    </row>
    <row r="21" spans="1:13">
      <c r="F21" s="224"/>
    </row>
    <row r="22" spans="1:13">
      <c r="F22" s="226">
        <f>SUM(F10:F21)</f>
        <v>0</v>
      </c>
    </row>
    <row r="23" spans="1:13">
      <c r="F23" s="224"/>
    </row>
    <row r="24" spans="1:13">
      <c r="A24" t="s">
        <v>801</v>
      </c>
      <c r="F24" s="226" t="e">
        <f>+RBC!C40-RBC!C32-RBC!C34-RBC!C35-RBC!C36-RBC!C37-RBC!C38+Others!G102+'Financial Statements'!I33+'Financial Statements'!I34+'Financial Statements'!I70+'Financial Statements'!#REF!+'MS-Others'!F175</f>
        <v>#REF!</v>
      </c>
      <c r="H24" t="s">
        <v>802</v>
      </c>
      <c r="M24" s="226">
        <f>+RBC!C19-RBC!C11</f>
        <v>0</v>
      </c>
    </row>
    <row r="28" spans="1:13">
      <c r="H28" t="s">
        <v>116</v>
      </c>
      <c r="M28" s="226">
        <f>+M20+M24</f>
        <v>0</v>
      </c>
    </row>
    <row r="31" spans="1:13" ht="13.5" thickBot="1">
      <c r="A31" s="1" t="s">
        <v>803</v>
      </c>
      <c r="F31" s="556" t="e">
        <f>+F22+F24</f>
        <v>#REF!</v>
      </c>
      <c r="H31" s="79" t="s">
        <v>804</v>
      </c>
      <c r="M31" s="556">
        <f>+M20+M24</f>
        <v>0</v>
      </c>
    </row>
    <row r="32" spans="1:13" ht="13.5" thickTop="1">
      <c r="F32" s="224"/>
    </row>
    <row r="33" spans="5:13">
      <c r="E33" s="808" t="s">
        <v>805</v>
      </c>
      <c r="F33" s="809">
        <f>+'Financial Statements'!J13</f>
        <v>0</v>
      </c>
      <c r="L33" s="22" t="s">
        <v>805</v>
      </c>
      <c r="M33" s="809">
        <f>+'Financial Statements'!J126</f>
        <v>0</v>
      </c>
    </row>
    <row r="34" spans="5:13">
      <c r="E34" s="808" t="s">
        <v>806</v>
      </c>
      <c r="F34" s="810" t="e">
        <f>+F31-F33</f>
        <v>#REF!</v>
      </c>
      <c r="L34" s="808" t="s">
        <v>806</v>
      </c>
      <c r="M34" s="809">
        <f>+M31-M33</f>
        <v>0</v>
      </c>
    </row>
  </sheetData>
  <sheetProtection password="DF76" sheet="1" objects="1" scenarios="1"/>
  <customSheetViews>
    <customSheetView guid="{504CC784-4394-4648-B9CE-DFC32001696E}" fitToPage="1" state="hidden" showRuler="0">
      <pane xSplit="2" ySplit="3" topLeftCell="C23" activePane="bottomRight" state="frozen"/>
      <selection pane="bottomRight"/>
      <pageMargins left="0" right="0" top="0" bottom="0" header="0" footer="0"/>
      <printOptions gridLines="1"/>
      <pageSetup scale="95" orientation="landscape" r:id="rId1"/>
      <headerFooter alignWithMargins="0"/>
    </customSheetView>
  </customSheetViews>
  <mergeCells count="3">
    <mergeCell ref="B6:C6"/>
    <mergeCell ref="H8:I8"/>
    <mergeCell ref="H11:I11"/>
  </mergeCells>
  <phoneticPr fontId="22" type="noConversion"/>
  <pageMargins left="0.75" right="0.75" top="1" bottom="1" header="0.5" footer="0.5"/>
  <pageSetup scale="89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5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1</xdr:col>
                    <xdr:colOff>676275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6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1</xdr:col>
                    <xdr:colOff>676275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532D-7D7D-4229-B949-90ADA325479D}">
  <sheetPr codeName="Sheet22"/>
  <dimension ref="A1:C24"/>
  <sheetViews>
    <sheetView zoomScaleNormal="100" workbookViewId="0">
      <selection activeCell="D4" sqref="D4"/>
    </sheetView>
  </sheetViews>
  <sheetFormatPr defaultRowHeight="12.75"/>
  <cols>
    <col min="1" max="1" width="72.42578125" customWidth="1"/>
    <col min="2" max="2" width="20.140625" style="722" customWidth="1"/>
    <col min="3" max="3" width="18.7109375" style="90" customWidth="1"/>
  </cols>
  <sheetData>
    <row r="1" spans="1:3">
      <c r="A1" s="264" t="str">
        <f>RBC!A1</f>
        <v>NAME OF THE TRADING PARTICIPANT</v>
      </c>
      <c r="B1" s="711"/>
      <c r="C1" s="711"/>
    </row>
    <row r="2" spans="1:3">
      <c r="A2" s="156" t="s">
        <v>807</v>
      </c>
      <c r="B2" s="711"/>
      <c r="C2" s="711"/>
    </row>
    <row r="3" spans="1:3">
      <c r="A3" s="464" t="str">
        <f>+'trial balance'!A3</f>
        <v>mm/dd/yyyy</v>
      </c>
      <c r="B3" s="711"/>
      <c r="C3" s="712"/>
    </row>
    <row r="4" spans="1:3">
      <c r="A4" s="6"/>
      <c r="B4" s="713"/>
      <c r="C4" s="714"/>
    </row>
    <row r="5" spans="1:3">
      <c r="A5" s="7" t="s">
        <v>662</v>
      </c>
      <c r="B5" s="715" t="s">
        <v>808</v>
      </c>
      <c r="C5" s="716" t="s">
        <v>197</v>
      </c>
    </row>
    <row r="6" spans="1:3">
      <c r="A6" s="8" t="s">
        <v>809</v>
      </c>
      <c r="B6" s="717">
        <f>'reserve formula-detailed'!K23</f>
        <v>0</v>
      </c>
      <c r="C6" s="718"/>
    </row>
    <row r="7" spans="1:3">
      <c r="A7" s="8" t="s">
        <v>810</v>
      </c>
      <c r="B7" s="717">
        <f>'reserve formula-detailed'!K29</f>
        <v>0</v>
      </c>
      <c r="C7" s="718"/>
    </row>
    <row r="8" spans="1:3">
      <c r="A8" s="8" t="s">
        <v>811</v>
      </c>
      <c r="B8" s="717">
        <f>'reserve formula-detailed'!K37</f>
        <v>0</v>
      </c>
      <c r="C8" s="718"/>
    </row>
    <row r="9" spans="1:3">
      <c r="A9" s="8" t="s">
        <v>812</v>
      </c>
      <c r="B9" s="717">
        <f>'reserve formula-detailed'!K52</f>
        <v>0</v>
      </c>
      <c r="C9" s="718"/>
    </row>
    <row r="10" spans="1:3">
      <c r="A10" s="8" t="s">
        <v>813</v>
      </c>
      <c r="B10" s="717">
        <f>'reserve formula-detailed'!K55</f>
        <v>0</v>
      </c>
      <c r="C10" s="718"/>
    </row>
    <row r="11" spans="1:3">
      <c r="A11" s="8" t="s">
        <v>814</v>
      </c>
      <c r="B11" s="717">
        <f>'reserve formula-detailed'!K58</f>
        <v>0</v>
      </c>
      <c r="C11" s="718"/>
    </row>
    <row r="12" spans="1:3">
      <c r="A12" s="8" t="s">
        <v>815</v>
      </c>
      <c r="B12" s="717"/>
      <c r="C12" s="718"/>
    </row>
    <row r="13" spans="1:3">
      <c r="A13" s="8" t="s">
        <v>816</v>
      </c>
      <c r="B13" s="717">
        <f>'reserve formula-detailed'!K61</f>
        <v>0</v>
      </c>
      <c r="C13" s="718"/>
    </row>
    <row r="14" spans="1:3">
      <c r="A14" s="8" t="s">
        <v>817</v>
      </c>
      <c r="B14" s="717">
        <f>'reserve formula-detailed'!K68</f>
        <v>0</v>
      </c>
      <c r="C14" s="718"/>
    </row>
    <row r="15" spans="1:3">
      <c r="A15" s="8" t="s">
        <v>818</v>
      </c>
      <c r="B15" s="717"/>
      <c r="C15" s="718"/>
    </row>
    <row r="16" spans="1:3">
      <c r="A16" s="8" t="s">
        <v>819</v>
      </c>
      <c r="B16" s="717">
        <f>'reserve formula-detailed'!K71</f>
        <v>0</v>
      </c>
      <c r="C16" s="718"/>
    </row>
    <row r="17" spans="1:3">
      <c r="A17" s="8" t="s">
        <v>820</v>
      </c>
      <c r="B17" s="717"/>
      <c r="C17" s="718"/>
    </row>
    <row r="18" spans="1:3">
      <c r="A18" s="8" t="s">
        <v>821</v>
      </c>
      <c r="B18" s="717"/>
      <c r="C18" s="718">
        <f>'reserve formula-detailed'!K100</f>
        <v>0</v>
      </c>
    </row>
    <row r="19" spans="1:3">
      <c r="A19" s="8" t="s">
        <v>822</v>
      </c>
      <c r="B19" s="717"/>
      <c r="C19" s="718"/>
    </row>
    <row r="20" spans="1:3">
      <c r="A20" s="8" t="s">
        <v>823</v>
      </c>
      <c r="B20" s="717"/>
      <c r="C20" s="718">
        <f>'reserve formula-detailed'!K106</f>
        <v>0</v>
      </c>
    </row>
    <row r="21" spans="1:3">
      <c r="A21" s="8" t="s">
        <v>824</v>
      </c>
      <c r="B21" s="717"/>
      <c r="C21" s="718"/>
    </row>
    <row r="22" spans="1:3">
      <c r="A22" s="8" t="s">
        <v>825</v>
      </c>
      <c r="B22" s="717"/>
      <c r="C22" s="718">
        <f>'reserve formula-detailed'!K124</f>
        <v>0</v>
      </c>
    </row>
    <row r="23" spans="1:3" ht="13.5" thickBot="1">
      <c r="A23" s="8" t="s">
        <v>826</v>
      </c>
      <c r="B23" s="719"/>
      <c r="C23" s="720"/>
    </row>
    <row r="24" spans="1:3">
      <c r="A24" s="9" t="s">
        <v>116</v>
      </c>
      <c r="B24" s="721">
        <f>SUM(B6:B23)</f>
        <v>0</v>
      </c>
      <c r="C24" s="721">
        <f>SUM(C6:C23)</f>
        <v>0</v>
      </c>
    </row>
  </sheetData>
  <sheetProtection password="9399" sheet="1" objects="1" scenarios="1"/>
  <customSheetViews>
    <customSheetView guid="{504CC784-4394-4648-B9CE-DFC32001696E}" state="hidden" showRuler="0">
      <selection activeCell="A19" sqref="A19"/>
      <pageMargins left="0" right="0" top="0" bottom="0" header="0" footer="0"/>
      <pageSetup orientation="portrait" r:id="rId1"/>
      <headerFooter alignWithMargins="0"/>
    </customSheetView>
  </customSheetViews>
  <phoneticPr fontId="22" type="noConversion"/>
  <pageMargins left="0.52" right="0.47" top="1" bottom="1" header="0.5" footer="0.5"/>
  <pageSetup scale="98" orientation="portrait" r:id="rId2"/>
  <headerFooter alignWithMargins="0">
    <oddFooter>&amp;CPage &amp;P of &amp;N&amp;R&amp;A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3" r:id="rId5" name="Button 1">
              <controlPr defaultSize="0" print="0" autoFill="0" autoPict="0" macro="[0]!rbc">
                <anchor>
                  <from>
                    <xdr:col>0</xdr:col>
                    <xdr:colOff>9525</xdr:colOff>
                    <xdr:row>0</xdr:row>
                    <xdr:rowOff>0</xdr:rowOff>
                  </from>
                  <to>
                    <xdr:col>0</xdr:col>
                    <xdr:colOff>1143000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4" r:id="rId6" name="Button 2">
              <controlPr defaultSize="0" print="0" autoFill="0" autoPict="0" macro="[0]!navigate">
                <anchor>
                  <from>
                    <xdr:col>0</xdr:col>
                    <xdr:colOff>9525</xdr:colOff>
                    <xdr:row>1</xdr:row>
                    <xdr:rowOff>57150</xdr:rowOff>
                  </from>
                  <to>
                    <xdr:col>0</xdr:col>
                    <xdr:colOff>1143000</xdr:colOff>
                    <xdr:row>2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BD36-2DCB-4836-9AEC-30A682C086C2}">
  <sheetPr codeName="Sheet21"/>
  <dimension ref="A1:M153"/>
  <sheetViews>
    <sheetView showGridLines="0" zoomScaleNormal="100" zoomScaleSheetLayoutView="100" workbookViewId="0">
      <selection activeCell="O18" sqref="O18"/>
    </sheetView>
  </sheetViews>
  <sheetFormatPr defaultColWidth="8.7109375" defaultRowHeight="12.75"/>
  <cols>
    <col min="1" max="1" width="3.42578125" style="33" customWidth="1"/>
    <col min="2" max="2" width="1" style="34" customWidth="1"/>
    <col min="3" max="3" width="5.7109375" style="33" customWidth="1"/>
    <col min="4" max="8" width="8.7109375" style="33" customWidth="1"/>
    <col min="9" max="9" width="18" style="33" customWidth="1"/>
    <col min="10" max="10" width="8.7109375" style="33" customWidth="1"/>
    <col min="11" max="11" width="19.28515625" style="681" customWidth="1"/>
    <col min="12" max="12" width="8.7109375" style="33" customWidth="1"/>
    <col min="13" max="13" width="8.7109375" style="33" hidden="1" customWidth="1"/>
    <col min="14" max="16384" width="8.7109375" style="33"/>
  </cols>
  <sheetData>
    <row r="1" spans="1:11">
      <c r="A1" s="264" t="str">
        <f>+'trial balance'!A1</f>
        <v>NAME OF THE TRADING PARTICIPANT</v>
      </c>
      <c r="B1" s="553"/>
      <c r="C1" s="553"/>
      <c r="D1" s="553"/>
      <c r="E1" s="553"/>
      <c r="F1" s="553"/>
      <c r="G1" s="553"/>
      <c r="H1" s="553"/>
      <c r="I1" s="553"/>
      <c r="J1" s="553"/>
      <c r="K1" s="680"/>
    </row>
    <row r="2" spans="1:11">
      <c r="A2" s="156" t="s">
        <v>827</v>
      </c>
      <c r="B2" s="553"/>
      <c r="C2" s="553"/>
      <c r="D2" s="553"/>
      <c r="E2" s="553"/>
      <c r="F2" s="553"/>
      <c r="G2" s="553"/>
      <c r="H2" s="553"/>
      <c r="I2" s="553"/>
      <c r="J2" s="553"/>
      <c r="K2" s="680"/>
    </row>
    <row r="3" spans="1:11">
      <c r="A3" s="464" t="str">
        <f>+'trial balance'!A3</f>
        <v>mm/dd/yyyy</v>
      </c>
      <c r="B3" s="553"/>
      <c r="C3" s="553"/>
      <c r="D3" s="553"/>
      <c r="E3" s="553"/>
      <c r="F3" s="553"/>
      <c r="G3" s="553"/>
      <c r="H3" s="553"/>
      <c r="I3" s="553"/>
      <c r="J3" s="553"/>
      <c r="K3" s="680"/>
    </row>
    <row r="4" spans="1:11">
      <c r="A4" s="464"/>
      <c r="D4" s="176"/>
    </row>
    <row r="5" spans="1:11">
      <c r="A5" s="44"/>
      <c r="B5" s="44"/>
      <c r="C5" s="44"/>
      <c r="D5" s="44"/>
      <c r="E5" s="44"/>
      <c r="F5" s="44"/>
      <c r="G5" s="44"/>
      <c r="H5" s="44"/>
      <c r="I5" s="44"/>
      <c r="J5" s="44"/>
      <c r="K5" s="682"/>
    </row>
    <row r="6" spans="1:11">
      <c r="A6" s="35">
        <v>1</v>
      </c>
      <c r="B6" s="36" t="s">
        <v>828</v>
      </c>
      <c r="C6" s="37" t="s">
        <v>829</v>
      </c>
      <c r="D6" s="38"/>
      <c r="E6" s="38"/>
      <c r="F6" s="38"/>
      <c r="G6" s="38"/>
      <c r="H6" s="38"/>
      <c r="I6" s="38"/>
      <c r="J6" s="38"/>
      <c r="K6" s="683"/>
    </row>
    <row r="7" spans="1:11">
      <c r="A7" s="40" t="s">
        <v>830</v>
      </c>
      <c r="B7" s="41"/>
      <c r="C7" s="38"/>
      <c r="D7" s="38"/>
      <c r="E7" s="38"/>
      <c r="F7" s="38"/>
      <c r="G7" s="38"/>
      <c r="H7" s="38"/>
      <c r="I7" s="38"/>
      <c r="J7" s="39"/>
      <c r="K7" s="704"/>
    </row>
    <row r="8" spans="1:11">
      <c r="A8" s="40" t="s">
        <v>108</v>
      </c>
      <c r="B8" s="41" t="s">
        <v>828</v>
      </c>
      <c r="C8" s="38" t="s">
        <v>831</v>
      </c>
      <c r="D8" s="38"/>
      <c r="E8" s="38"/>
      <c r="F8" s="38"/>
      <c r="G8" s="38"/>
      <c r="H8" s="38"/>
      <c r="I8" s="38"/>
      <c r="J8" s="39"/>
      <c r="K8" s="684"/>
    </row>
    <row r="9" spans="1:11">
      <c r="A9" s="40"/>
      <c r="B9" s="41"/>
      <c r="C9" s="38"/>
      <c r="D9" s="38" t="s">
        <v>832</v>
      </c>
      <c r="E9" s="38"/>
      <c r="F9" s="38"/>
      <c r="G9" s="38"/>
      <c r="H9" s="38"/>
      <c r="I9" s="38"/>
      <c r="J9" s="39"/>
      <c r="K9" s="704"/>
    </row>
    <row r="10" spans="1:11">
      <c r="A10" s="42"/>
      <c r="B10" s="43"/>
      <c r="C10" s="44"/>
      <c r="D10" s="44" t="s">
        <v>833</v>
      </c>
      <c r="E10" s="44"/>
      <c r="F10" s="44"/>
      <c r="G10" s="44"/>
      <c r="H10" s="44"/>
      <c r="I10" s="44"/>
      <c r="J10" s="45"/>
      <c r="K10" s="704"/>
    </row>
    <row r="11" spans="1:11">
      <c r="A11" s="46"/>
      <c r="B11" s="47"/>
      <c r="C11" s="48"/>
      <c r="D11" s="48" t="s">
        <v>834</v>
      </c>
      <c r="E11" s="48"/>
      <c r="F11" s="48"/>
      <c r="G11" s="48"/>
      <c r="H11" s="48"/>
      <c r="I11" s="48"/>
      <c r="J11" s="49"/>
      <c r="K11" s="685"/>
    </row>
    <row r="12" spans="1:11">
      <c r="A12" s="51"/>
      <c r="D12" s="756" t="s">
        <v>835</v>
      </c>
      <c r="E12" s="699"/>
      <c r="F12" s="699"/>
      <c r="G12" s="699"/>
      <c r="H12" s="699"/>
      <c r="I12" s="699"/>
      <c r="J12" s="700"/>
      <c r="K12" s="703"/>
    </row>
    <row r="13" spans="1:11">
      <c r="A13" s="42"/>
      <c r="B13" s="43"/>
      <c r="C13" s="44"/>
      <c r="D13" s="757" t="s">
        <v>647</v>
      </c>
      <c r="E13" s="701"/>
      <c r="F13" s="701"/>
      <c r="G13" s="701"/>
      <c r="H13" s="701"/>
      <c r="I13" s="701"/>
      <c r="J13" s="702"/>
      <c r="K13" s="703"/>
    </row>
    <row r="14" spans="1:11">
      <c r="A14" s="40"/>
      <c r="B14" s="41"/>
      <c r="C14" s="38"/>
      <c r="D14" s="38"/>
      <c r="E14" s="38"/>
      <c r="F14" s="38"/>
      <c r="G14" s="38"/>
      <c r="H14" s="38"/>
      <c r="I14" s="38"/>
      <c r="J14" s="39" t="s">
        <v>114</v>
      </c>
      <c r="K14" s="684">
        <f>K9+K10+K12+K13</f>
        <v>0</v>
      </c>
    </row>
    <row r="15" spans="1:11">
      <c r="A15" s="51"/>
      <c r="K15" s="685"/>
    </row>
    <row r="16" spans="1:11">
      <c r="A16" s="52" t="s">
        <v>113</v>
      </c>
      <c r="B16" s="41" t="s">
        <v>828</v>
      </c>
      <c r="C16" s="38" t="s">
        <v>836</v>
      </c>
      <c r="D16" s="38"/>
      <c r="E16" s="38"/>
      <c r="F16" s="38"/>
      <c r="G16" s="38"/>
      <c r="H16" s="38"/>
      <c r="I16" s="38"/>
      <c r="J16" s="38"/>
      <c r="K16" s="686"/>
    </row>
    <row r="17" spans="1:11">
      <c r="A17" s="46"/>
      <c r="B17" s="47"/>
      <c r="C17" s="48"/>
      <c r="D17" s="48" t="s">
        <v>837</v>
      </c>
      <c r="E17" s="48"/>
      <c r="F17" s="48"/>
      <c r="G17" s="48"/>
      <c r="H17" s="48"/>
      <c r="I17" s="48"/>
      <c r="J17" s="49"/>
      <c r="K17" s="705"/>
    </row>
    <row r="18" spans="1:11">
      <c r="A18" s="42"/>
      <c r="B18" s="43"/>
      <c r="C18" s="44"/>
      <c r="D18" s="44" t="s">
        <v>838</v>
      </c>
      <c r="E18" s="44"/>
      <c r="F18" s="44"/>
      <c r="G18" s="44"/>
      <c r="H18" s="44"/>
      <c r="I18" s="44"/>
      <c r="J18" s="45"/>
      <c r="K18" s="688"/>
    </row>
    <row r="19" spans="1:11">
      <c r="A19" s="46"/>
      <c r="B19" s="47"/>
      <c r="C19" s="48"/>
      <c r="D19" s="48" t="s">
        <v>839</v>
      </c>
      <c r="E19" s="48"/>
      <c r="F19" s="48"/>
      <c r="G19" s="48"/>
      <c r="H19" s="48"/>
      <c r="I19" s="48"/>
      <c r="J19" s="49"/>
      <c r="K19" s="705"/>
    </row>
    <row r="20" spans="1:11">
      <c r="A20" s="51"/>
      <c r="D20" s="33" t="s">
        <v>840</v>
      </c>
      <c r="J20" s="50"/>
      <c r="K20" s="689"/>
    </row>
    <row r="21" spans="1:11">
      <c r="A21" s="42"/>
      <c r="B21" s="43"/>
      <c r="C21" s="44"/>
      <c r="D21" s="44" t="s">
        <v>841</v>
      </c>
      <c r="E21" s="44"/>
      <c r="F21" s="44"/>
      <c r="G21" s="44"/>
      <c r="H21" s="44"/>
      <c r="I21" s="44"/>
      <c r="J21" s="45"/>
      <c r="K21" s="688"/>
    </row>
    <row r="22" spans="1:11">
      <c r="A22" s="40"/>
      <c r="B22" s="41"/>
      <c r="C22" s="38"/>
      <c r="D22" s="38"/>
      <c r="E22" s="38"/>
      <c r="F22" s="38"/>
      <c r="G22" s="38"/>
      <c r="H22" s="38"/>
      <c r="I22" s="38"/>
      <c r="J22" s="38" t="s">
        <v>114</v>
      </c>
      <c r="K22" s="684">
        <f>K17+K19</f>
        <v>0</v>
      </c>
    </row>
    <row r="23" spans="1:11">
      <c r="A23" s="40" t="s">
        <v>842</v>
      </c>
      <c r="B23" s="41"/>
      <c r="C23" s="38"/>
      <c r="D23" s="38"/>
      <c r="E23" s="38"/>
      <c r="F23" s="38"/>
      <c r="G23" s="38"/>
      <c r="H23" s="38"/>
      <c r="I23" s="38"/>
      <c r="J23" s="38"/>
      <c r="K23" s="684">
        <f>K7+K14-K22</f>
        <v>0</v>
      </c>
    </row>
    <row r="24" spans="1:11">
      <c r="A24" s="40"/>
      <c r="B24" s="41"/>
      <c r="C24" s="38"/>
      <c r="D24" s="38"/>
      <c r="E24" s="38"/>
      <c r="F24" s="38"/>
      <c r="G24" s="38"/>
      <c r="H24" s="38"/>
      <c r="I24" s="38"/>
      <c r="J24" s="38"/>
      <c r="K24" s="686"/>
    </row>
    <row r="25" spans="1:11">
      <c r="A25" s="53">
        <v>2</v>
      </c>
      <c r="B25" s="54" t="s">
        <v>828</v>
      </c>
      <c r="C25" s="55" t="s">
        <v>843</v>
      </c>
      <c r="D25" s="48"/>
      <c r="E25" s="48"/>
      <c r="F25" s="48"/>
      <c r="G25" s="48"/>
      <c r="H25" s="48"/>
      <c r="I25" s="48"/>
      <c r="J25" s="48"/>
      <c r="K25" s="690"/>
    </row>
    <row r="26" spans="1:11">
      <c r="A26" s="42"/>
      <c r="B26" s="43"/>
      <c r="C26" s="44" t="s">
        <v>844</v>
      </c>
      <c r="D26" s="44"/>
      <c r="E26" s="44"/>
      <c r="F26" s="44"/>
      <c r="G26" s="44"/>
      <c r="H26" s="44"/>
      <c r="I26" s="44"/>
      <c r="J26" s="44"/>
      <c r="K26" s="691"/>
    </row>
    <row r="27" spans="1:11">
      <c r="A27" s="40" t="s">
        <v>845</v>
      </c>
      <c r="B27" s="41"/>
      <c r="C27" s="38"/>
      <c r="D27" s="38"/>
      <c r="E27" s="38"/>
      <c r="F27" s="38"/>
      <c r="G27" s="38"/>
      <c r="H27" s="38"/>
      <c r="I27" s="38"/>
      <c r="J27" s="38"/>
      <c r="K27" s="704"/>
    </row>
    <row r="28" spans="1:11">
      <c r="A28" s="40" t="s">
        <v>846</v>
      </c>
      <c r="B28" s="41"/>
      <c r="C28" s="38"/>
      <c r="D28" s="38"/>
      <c r="E28" s="38"/>
      <c r="F28" s="38"/>
      <c r="G28" s="38"/>
      <c r="H28" s="38"/>
      <c r="I28" s="38"/>
      <c r="J28" s="38"/>
      <c r="K28" s="704"/>
    </row>
    <row r="29" spans="1:11">
      <c r="A29" s="42" t="s">
        <v>847</v>
      </c>
      <c r="B29" s="43"/>
      <c r="C29" s="44"/>
      <c r="D29" s="44"/>
      <c r="E29" s="44"/>
      <c r="F29" s="44"/>
      <c r="G29" s="44"/>
      <c r="H29" s="44"/>
      <c r="I29" s="44"/>
      <c r="J29" s="44"/>
      <c r="K29" s="688">
        <f>SUM(K27:K28)</f>
        <v>0</v>
      </c>
    </row>
    <row r="30" spans="1:11">
      <c r="A30" s="40"/>
      <c r="B30" s="41"/>
      <c r="C30" s="38"/>
      <c r="D30" s="38"/>
      <c r="E30" s="38"/>
      <c r="F30" s="38"/>
      <c r="G30" s="38"/>
      <c r="H30" s="38"/>
      <c r="I30" s="38"/>
      <c r="J30" s="38"/>
      <c r="K30" s="686"/>
    </row>
    <row r="31" spans="1:11">
      <c r="A31" s="56">
        <v>3</v>
      </c>
      <c r="B31" s="36" t="s">
        <v>828</v>
      </c>
      <c r="C31" s="37" t="s">
        <v>848</v>
      </c>
      <c r="D31" s="38"/>
      <c r="E31" s="38"/>
      <c r="F31" s="38"/>
      <c r="G31" s="38"/>
      <c r="H31" s="38"/>
      <c r="I31" s="38"/>
      <c r="J31" s="38"/>
      <c r="K31" s="686"/>
    </row>
    <row r="32" spans="1:11">
      <c r="A32" s="40" t="s">
        <v>830</v>
      </c>
      <c r="B32" s="41"/>
      <c r="C32" s="38"/>
      <c r="D32" s="38"/>
      <c r="E32" s="38"/>
      <c r="F32" s="38"/>
      <c r="G32" s="38"/>
      <c r="H32" s="38"/>
      <c r="I32" s="38"/>
      <c r="J32" s="38"/>
      <c r="K32" s="704"/>
    </row>
    <row r="33" spans="1:11">
      <c r="A33" s="57" t="s">
        <v>108</v>
      </c>
      <c r="B33" s="47" t="s">
        <v>828</v>
      </c>
      <c r="C33" s="48" t="s">
        <v>831</v>
      </c>
      <c r="D33" s="48"/>
      <c r="E33" s="48"/>
      <c r="F33" s="48"/>
      <c r="G33" s="48"/>
      <c r="H33" s="48"/>
      <c r="I33" s="48"/>
      <c r="J33" s="48"/>
      <c r="K33" s="687"/>
    </row>
    <row r="34" spans="1:11">
      <c r="A34" s="51"/>
      <c r="D34" s="33" t="s">
        <v>849</v>
      </c>
      <c r="K34" s="706"/>
    </row>
    <row r="35" spans="1:11">
      <c r="A35" s="51"/>
      <c r="D35" s="33" t="s">
        <v>850</v>
      </c>
      <c r="K35" s="706"/>
    </row>
    <row r="36" spans="1:11">
      <c r="A36" s="42"/>
      <c r="B36" s="43"/>
      <c r="C36" s="44"/>
      <c r="D36" s="44" t="s">
        <v>851</v>
      </c>
      <c r="E36" s="44"/>
      <c r="F36" s="44"/>
      <c r="G36" s="44"/>
      <c r="H36" s="44"/>
      <c r="I36" s="44"/>
      <c r="J36" s="44"/>
      <c r="K36" s="707"/>
    </row>
    <row r="37" spans="1:11">
      <c r="A37" s="40" t="s">
        <v>852</v>
      </c>
      <c r="B37" s="41"/>
      <c r="C37" s="38"/>
      <c r="D37" s="38"/>
      <c r="E37" s="38"/>
      <c r="F37" s="38"/>
      <c r="G37" s="38"/>
      <c r="H37" s="38"/>
      <c r="I37" s="38"/>
      <c r="J37" s="38"/>
      <c r="K37" s="684">
        <f>K32+SUM(K34:K36)</f>
        <v>0</v>
      </c>
    </row>
    <row r="38" spans="1:11">
      <c r="A38" s="40"/>
      <c r="B38" s="41"/>
      <c r="C38" s="38"/>
      <c r="D38" s="38"/>
      <c r="E38" s="38"/>
      <c r="F38" s="38"/>
      <c r="G38" s="38"/>
      <c r="H38" s="38"/>
      <c r="I38" s="38"/>
      <c r="J38" s="38"/>
      <c r="K38" s="686"/>
    </row>
    <row r="39" spans="1:11">
      <c r="A39" s="53">
        <v>4</v>
      </c>
      <c r="B39" s="54" t="s">
        <v>828</v>
      </c>
      <c r="C39" s="55" t="s">
        <v>853</v>
      </c>
      <c r="D39" s="48"/>
      <c r="E39" s="48"/>
      <c r="F39" s="48"/>
      <c r="G39" s="48"/>
      <c r="H39" s="48"/>
      <c r="I39" s="48"/>
      <c r="J39" s="48"/>
      <c r="K39" s="690"/>
    </row>
    <row r="40" spans="1:11">
      <c r="A40" s="58" t="s">
        <v>854</v>
      </c>
      <c r="B40" s="43"/>
      <c r="C40" s="44"/>
      <c r="D40" s="44"/>
      <c r="E40" s="44"/>
      <c r="F40" s="44"/>
      <c r="G40" s="44"/>
      <c r="H40" s="44"/>
      <c r="I40" s="44"/>
      <c r="J40" s="44"/>
      <c r="K40" s="691"/>
    </row>
    <row r="41" spans="1:11">
      <c r="A41" s="40" t="s">
        <v>855</v>
      </c>
      <c r="B41" s="41"/>
      <c r="C41" s="38"/>
      <c r="D41" s="38"/>
      <c r="E41" s="38"/>
      <c r="F41" s="38"/>
      <c r="G41" s="38"/>
      <c r="H41" s="38"/>
      <c r="I41" s="38"/>
      <c r="J41" s="38"/>
      <c r="K41" s="708"/>
    </row>
    <row r="42" spans="1:11">
      <c r="A42" s="59" t="s">
        <v>108</v>
      </c>
      <c r="B42" s="41" t="s">
        <v>828</v>
      </c>
      <c r="C42" s="38" t="s">
        <v>831</v>
      </c>
      <c r="D42" s="38"/>
      <c r="E42" s="38"/>
      <c r="F42" s="38"/>
      <c r="G42" s="38"/>
      <c r="H42" s="38"/>
      <c r="I42" s="38"/>
      <c r="J42" s="38"/>
      <c r="K42" s="686"/>
    </row>
    <row r="43" spans="1:11">
      <c r="A43" s="46"/>
      <c r="B43" s="47"/>
      <c r="C43" s="48"/>
      <c r="D43" s="48" t="s">
        <v>856</v>
      </c>
      <c r="E43" s="48"/>
      <c r="F43" s="48"/>
      <c r="G43" s="48"/>
      <c r="H43" s="48"/>
      <c r="I43" s="48"/>
      <c r="J43" s="48"/>
      <c r="K43" s="705"/>
    </row>
    <row r="44" spans="1:11">
      <c r="A44" s="51"/>
      <c r="D44" s="33" t="s">
        <v>857</v>
      </c>
      <c r="K44" s="689"/>
    </row>
    <row r="45" spans="1:11">
      <c r="A45" s="42"/>
      <c r="B45" s="43"/>
      <c r="C45" s="44"/>
      <c r="D45" s="44" t="s">
        <v>858</v>
      </c>
      <c r="E45" s="44"/>
      <c r="F45" s="44"/>
      <c r="G45" s="44"/>
      <c r="H45" s="44"/>
      <c r="I45" s="44"/>
      <c r="J45" s="44"/>
      <c r="K45" s="688"/>
    </row>
    <row r="46" spans="1:11">
      <c r="A46" s="46"/>
      <c r="B46" s="47"/>
      <c r="C46" s="48"/>
      <c r="D46" s="48" t="s">
        <v>859</v>
      </c>
      <c r="E46" s="48"/>
      <c r="F46" s="48"/>
      <c r="G46" s="48"/>
      <c r="H46" s="48"/>
      <c r="I46" s="48"/>
      <c r="J46" s="48"/>
      <c r="K46" s="705"/>
    </row>
    <row r="47" spans="1:11">
      <c r="A47" s="42"/>
      <c r="B47" s="43"/>
      <c r="C47" s="44"/>
      <c r="D47" s="44" t="s">
        <v>860</v>
      </c>
      <c r="E47" s="44"/>
      <c r="F47" s="44"/>
      <c r="G47" s="44"/>
      <c r="H47" s="44"/>
      <c r="I47" s="44"/>
      <c r="J47" s="44"/>
      <c r="K47" s="688"/>
    </row>
    <row r="48" spans="1:11">
      <c r="A48" s="46"/>
      <c r="B48" s="47"/>
      <c r="C48" s="48"/>
      <c r="D48" s="48" t="s">
        <v>861</v>
      </c>
      <c r="E48" s="48"/>
      <c r="F48" s="48"/>
      <c r="G48" s="48"/>
      <c r="H48" s="48"/>
      <c r="I48" s="48"/>
      <c r="J48" s="48"/>
      <c r="K48" s="705"/>
    </row>
    <row r="49" spans="1:11">
      <c r="A49" s="42"/>
      <c r="B49" s="43"/>
      <c r="C49" s="44"/>
      <c r="D49" s="44" t="s">
        <v>862</v>
      </c>
      <c r="E49" s="44"/>
      <c r="F49" s="44"/>
      <c r="G49" s="44"/>
      <c r="H49" s="44"/>
      <c r="I49" s="44"/>
      <c r="J49" s="44"/>
      <c r="K49" s="688"/>
    </row>
    <row r="50" spans="1:11">
      <c r="A50" s="42"/>
      <c r="B50" s="43"/>
      <c r="C50" s="44"/>
      <c r="D50" s="44" t="s">
        <v>863</v>
      </c>
      <c r="E50" s="44"/>
      <c r="F50" s="44"/>
      <c r="G50" s="44"/>
      <c r="H50" s="44"/>
      <c r="I50" s="44"/>
      <c r="J50" s="44"/>
      <c r="K50" s="704"/>
    </row>
    <row r="51" spans="1:11">
      <c r="A51" s="40"/>
      <c r="B51" s="41"/>
      <c r="C51" s="38"/>
      <c r="D51" s="38"/>
      <c r="E51" s="38"/>
      <c r="F51" s="38"/>
      <c r="G51" s="38"/>
      <c r="H51" s="38"/>
      <c r="I51" s="38"/>
      <c r="J51" s="38" t="s">
        <v>114</v>
      </c>
      <c r="K51" s="684">
        <f>K43+K46+K48+K50</f>
        <v>0</v>
      </c>
    </row>
    <row r="52" spans="1:11">
      <c r="A52" s="40" t="s">
        <v>864</v>
      </c>
      <c r="B52" s="41"/>
      <c r="C52" s="38"/>
      <c r="D52" s="38"/>
      <c r="E52" s="38"/>
      <c r="F52" s="38"/>
      <c r="G52" s="38"/>
      <c r="H52" s="38"/>
      <c r="I52" s="38"/>
      <c r="J52" s="38"/>
      <c r="K52" s="684">
        <f>K41+K51</f>
        <v>0</v>
      </c>
    </row>
    <row r="53" spans="1:11">
      <c r="A53" s="40"/>
      <c r="B53" s="41"/>
      <c r="C53" s="38"/>
      <c r="D53" s="38"/>
      <c r="E53" s="38"/>
      <c r="F53" s="38"/>
      <c r="G53" s="38"/>
      <c r="H53" s="38"/>
      <c r="I53" s="38"/>
      <c r="J53" s="38"/>
      <c r="K53" s="686"/>
    </row>
    <row r="54" spans="1:11">
      <c r="A54" s="53">
        <v>5</v>
      </c>
      <c r="B54" s="54" t="s">
        <v>828</v>
      </c>
      <c r="C54" s="55" t="s">
        <v>865</v>
      </c>
      <c r="D54" s="48"/>
      <c r="E54" s="48"/>
      <c r="F54" s="48"/>
      <c r="G54" s="48"/>
      <c r="H54" s="48"/>
      <c r="I54" s="48"/>
      <c r="J54" s="48"/>
      <c r="K54" s="687"/>
    </row>
    <row r="55" spans="1:11">
      <c r="A55" s="58" t="s">
        <v>866</v>
      </c>
      <c r="B55" s="43"/>
      <c r="C55" s="44"/>
      <c r="D55" s="44"/>
      <c r="E55" s="44"/>
      <c r="F55" s="44"/>
      <c r="G55" s="44"/>
      <c r="H55" s="44"/>
      <c r="I55" s="44"/>
      <c r="J55" s="44"/>
      <c r="K55" s="707"/>
    </row>
    <row r="56" spans="1:11">
      <c r="A56" s="51"/>
      <c r="K56" s="685"/>
    </row>
    <row r="57" spans="1:11">
      <c r="A57" s="53">
        <v>6</v>
      </c>
      <c r="B57" s="54" t="s">
        <v>828</v>
      </c>
      <c r="C57" s="55" t="s">
        <v>867</v>
      </c>
      <c r="D57" s="48"/>
      <c r="E57" s="48"/>
      <c r="F57" s="48"/>
      <c r="G57" s="48"/>
      <c r="H57" s="48"/>
      <c r="I57" s="48"/>
      <c r="J57" s="48"/>
      <c r="K57" s="687"/>
    </row>
    <row r="58" spans="1:11">
      <c r="A58" s="58" t="s">
        <v>868</v>
      </c>
      <c r="B58" s="43"/>
      <c r="C58" s="44"/>
      <c r="D58" s="44"/>
      <c r="E58" s="44"/>
      <c r="F58" s="44"/>
      <c r="G58" s="44"/>
      <c r="H58" s="44"/>
      <c r="I58" s="44"/>
      <c r="J58" s="44"/>
      <c r="K58" s="707"/>
    </row>
    <row r="59" spans="1:11">
      <c r="A59" s="51"/>
      <c r="K59" s="685"/>
    </row>
    <row r="60" spans="1:11">
      <c r="A60" s="53">
        <v>7</v>
      </c>
      <c r="B60" s="54" t="s">
        <v>828</v>
      </c>
      <c r="C60" s="55" t="s">
        <v>869</v>
      </c>
      <c r="D60" s="48"/>
      <c r="E60" s="48"/>
      <c r="F60" s="48"/>
      <c r="G60" s="48"/>
      <c r="H60" s="48"/>
      <c r="I60" s="48"/>
      <c r="J60" s="48"/>
      <c r="K60" s="687"/>
    </row>
    <row r="61" spans="1:11">
      <c r="A61" s="58" t="s">
        <v>870</v>
      </c>
      <c r="B61" s="43"/>
      <c r="C61" s="44"/>
      <c r="D61" s="44"/>
      <c r="E61" s="44"/>
      <c r="F61" s="44"/>
      <c r="G61" s="44"/>
      <c r="H61" s="44"/>
      <c r="I61" s="44"/>
      <c r="J61" s="44"/>
      <c r="K61" s="707"/>
    </row>
    <row r="62" spans="1:11">
      <c r="A62" s="51"/>
      <c r="K62" s="685"/>
    </row>
    <row r="63" spans="1:11">
      <c r="A63" s="53">
        <v>8</v>
      </c>
      <c r="B63" s="54" t="s">
        <v>828</v>
      </c>
      <c r="C63" s="55" t="s">
        <v>871</v>
      </c>
      <c r="D63" s="55"/>
      <c r="E63" s="55"/>
      <c r="F63" s="55"/>
      <c r="G63" s="55"/>
      <c r="H63" s="55"/>
      <c r="I63" s="55"/>
      <c r="J63" s="55"/>
      <c r="K63" s="692"/>
    </row>
    <row r="64" spans="1:11">
      <c r="A64" s="58" t="s">
        <v>872</v>
      </c>
      <c r="B64" s="60"/>
      <c r="C64" s="61"/>
      <c r="D64" s="61"/>
      <c r="E64" s="61"/>
      <c r="F64" s="61"/>
      <c r="G64" s="61"/>
      <c r="H64" s="61"/>
      <c r="I64" s="61"/>
      <c r="J64" s="61"/>
      <c r="K64" s="693"/>
    </row>
    <row r="65" spans="1:11">
      <c r="A65" s="40"/>
      <c r="B65" s="41"/>
      <c r="C65" s="38"/>
      <c r="D65" s="38" t="s">
        <v>873</v>
      </c>
      <c r="E65" s="38"/>
      <c r="F65" s="38"/>
      <c r="G65" s="38"/>
      <c r="H65" s="38"/>
      <c r="I65" s="38"/>
      <c r="J65" s="38"/>
      <c r="K65" s="704"/>
    </row>
    <row r="66" spans="1:11">
      <c r="A66" s="40"/>
      <c r="B66" s="41"/>
      <c r="C66" s="38"/>
      <c r="D66" s="38" t="s">
        <v>874</v>
      </c>
      <c r="E66" s="38"/>
      <c r="F66" s="38"/>
      <c r="G66" s="38"/>
      <c r="H66" s="38"/>
      <c r="I66" s="38"/>
      <c r="J66" s="38"/>
      <c r="K66" s="704"/>
    </row>
    <row r="67" spans="1:11">
      <c r="A67" s="40"/>
      <c r="B67" s="41"/>
      <c r="C67" s="38"/>
      <c r="D67" s="38" t="s">
        <v>875</v>
      </c>
      <c r="E67" s="38"/>
      <c r="F67" s="38"/>
      <c r="G67" s="38"/>
      <c r="H67" s="38"/>
      <c r="I67" s="38"/>
      <c r="J67" s="38"/>
      <c r="K67" s="704"/>
    </row>
    <row r="68" spans="1:11">
      <c r="A68" s="40" t="s">
        <v>876</v>
      </c>
      <c r="B68" s="41"/>
      <c r="C68" s="38"/>
      <c r="D68" s="38"/>
      <c r="E68" s="38"/>
      <c r="F68" s="38"/>
      <c r="G68" s="38"/>
      <c r="H68" s="38"/>
      <c r="I68" s="38"/>
      <c r="J68" s="39"/>
      <c r="K68" s="684">
        <f>SUM(K65:K67)</f>
        <v>0</v>
      </c>
    </row>
    <row r="69" spans="1:11">
      <c r="A69" s="51"/>
      <c r="K69" s="685"/>
    </row>
    <row r="70" spans="1:11">
      <c r="A70" s="53">
        <v>9</v>
      </c>
      <c r="B70" s="54" t="s">
        <v>828</v>
      </c>
      <c r="C70" s="55" t="s">
        <v>877</v>
      </c>
      <c r="D70" s="48"/>
      <c r="E70" s="48"/>
      <c r="F70" s="48"/>
      <c r="G70" s="48"/>
      <c r="H70" s="48"/>
      <c r="I70" s="48"/>
      <c r="J70" s="48"/>
      <c r="K70" s="687"/>
    </row>
    <row r="71" spans="1:11">
      <c r="A71" s="58" t="s">
        <v>878</v>
      </c>
      <c r="B71" s="43"/>
      <c r="C71" s="44"/>
      <c r="D71" s="44"/>
      <c r="E71" s="44"/>
      <c r="F71" s="44"/>
      <c r="G71" s="44"/>
      <c r="H71" s="44"/>
      <c r="I71" s="44"/>
      <c r="J71" s="44"/>
      <c r="K71" s="707"/>
    </row>
    <row r="72" spans="1:11">
      <c r="A72" s="51"/>
      <c r="K72" s="685"/>
    </row>
    <row r="73" spans="1:11">
      <c r="A73" s="40" t="s">
        <v>879</v>
      </c>
      <c r="B73" s="41"/>
      <c r="C73" s="38"/>
      <c r="D73" s="38"/>
      <c r="E73" s="38"/>
      <c r="F73" s="38"/>
      <c r="G73" s="38"/>
      <c r="H73" s="38"/>
      <c r="I73" s="38"/>
      <c r="J73" s="38"/>
      <c r="K73" s="686">
        <f>K23+K29+K37+K52+K55+K58+K61+K68+K71</f>
        <v>0</v>
      </c>
    </row>
    <row r="74" spans="1:11">
      <c r="A74" s="46"/>
      <c r="B74" s="47"/>
      <c r="C74" s="48"/>
      <c r="D74" s="48"/>
      <c r="E74" s="48"/>
      <c r="F74" s="48"/>
      <c r="G74" s="48"/>
      <c r="H74" s="48"/>
      <c r="I74" s="48"/>
      <c r="J74" s="48"/>
      <c r="K74" s="690"/>
    </row>
    <row r="75" spans="1:11">
      <c r="A75" s="42"/>
      <c r="B75" s="43"/>
      <c r="C75" s="44"/>
      <c r="D75" s="44"/>
      <c r="E75" s="44"/>
      <c r="F75" s="44"/>
      <c r="G75" s="44"/>
      <c r="H75" s="44"/>
      <c r="I75" s="44"/>
      <c r="J75" s="44"/>
      <c r="K75" s="691"/>
    </row>
    <row r="76" spans="1:11">
      <c r="A76" s="53">
        <v>10</v>
      </c>
      <c r="B76" s="54" t="s">
        <v>828</v>
      </c>
      <c r="C76" s="55" t="s">
        <v>880</v>
      </c>
      <c r="D76" s="48"/>
      <c r="E76" s="48"/>
      <c r="F76" s="48"/>
      <c r="G76" s="48"/>
      <c r="H76" s="48"/>
      <c r="I76" s="48"/>
      <c r="J76" s="48"/>
      <c r="K76" s="690"/>
    </row>
    <row r="77" spans="1:11">
      <c r="A77" s="58" t="s">
        <v>881</v>
      </c>
      <c r="B77" s="43"/>
      <c r="C77" s="44"/>
      <c r="D77" s="44"/>
      <c r="E77" s="44"/>
      <c r="F77" s="44"/>
      <c r="G77" s="44"/>
      <c r="H77" s="44"/>
      <c r="I77" s="44"/>
      <c r="J77" s="44"/>
      <c r="K77" s="691"/>
    </row>
    <row r="78" spans="1:11">
      <c r="A78" s="40" t="s">
        <v>882</v>
      </c>
      <c r="B78" s="41"/>
      <c r="C78" s="38"/>
      <c r="D78" s="38"/>
      <c r="E78" s="38"/>
      <c r="F78" s="38"/>
      <c r="G78" s="38"/>
      <c r="H78" s="38"/>
      <c r="I78" s="38"/>
      <c r="J78" s="38"/>
      <c r="K78" s="708"/>
    </row>
    <row r="79" spans="1:11">
      <c r="A79" s="62" t="s">
        <v>108</v>
      </c>
      <c r="B79" s="34" t="s">
        <v>828</v>
      </c>
      <c r="C79" s="33" t="s">
        <v>831</v>
      </c>
      <c r="D79" s="63"/>
      <c r="E79" s="63"/>
      <c r="F79" s="63"/>
      <c r="G79" s="63"/>
      <c r="H79" s="63"/>
      <c r="I79" s="63"/>
      <c r="J79" s="63"/>
      <c r="K79" s="694"/>
    </row>
    <row r="80" spans="1:11">
      <c r="A80" s="40"/>
      <c r="B80" s="41"/>
      <c r="C80" s="38"/>
      <c r="D80" s="38" t="s">
        <v>883</v>
      </c>
      <c r="E80" s="38"/>
      <c r="F80" s="38"/>
      <c r="G80" s="38"/>
      <c r="H80" s="38"/>
      <c r="I80" s="38"/>
      <c r="J80" s="38"/>
      <c r="K80" s="704"/>
    </row>
    <row r="81" spans="1:11">
      <c r="A81" s="46"/>
      <c r="B81" s="47"/>
      <c r="C81" s="48"/>
      <c r="D81" s="48" t="s">
        <v>884</v>
      </c>
      <c r="E81" s="48"/>
      <c r="F81" s="48"/>
      <c r="G81" s="48"/>
      <c r="H81" s="48"/>
      <c r="I81" s="48"/>
      <c r="J81" s="48"/>
      <c r="K81" s="739"/>
    </row>
    <row r="82" spans="1:11">
      <c r="A82" s="51"/>
      <c r="D82" s="756" t="s">
        <v>647</v>
      </c>
      <c r="E82" s="699"/>
      <c r="F82" s="699"/>
      <c r="G82" s="699"/>
      <c r="H82" s="699"/>
      <c r="I82" s="699"/>
      <c r="J82" s="699"/>
      <c r="K82" s="706"/>
    </row>
    <row r="83" spans="1:11">
      <c r="A83" s="42"/>
      <c r="B83" s="43"/>
      <c r="C83" s="44"/>
      <c r="D83" s="756"/>
      <c r="E83" s="701"/>
      <c r="F83" s="701"/>
      <c r="G83" s="701"/>
      <c r="H83" s="701"/>
      <c r="I83" s="701"/>
      <c r="J83" s="701"/>
      <c r="K83" s="707"/>
    </row>
    <row r="84" spans="1:11">
      <c r="A84" s="40"/>
      <c r="B84" s="41"/>
      <c r="C84" s="38"/>
      <c r="D84" s="38"/>
      <c r="E84" s="38"/>
      <c r="F84" s="38"/>
      <c r="G84" s="38"/>
      <c r="H84" s="38"/>
      <c r="I84" s="38"/>
      <c r="J84" s="38" t="s">
        <v>114</v>
      </c>
      <c r="K84" s="684">
        <f>K80+K82+K83</f>
        <v>0</v>
      </c>
    </row>
    <row r="85" spans="1:11">
      <c r="A85" s="59" t="s">
        <v>113</v>
      </c>
      <c r="B85" s="41" t="s">
        <v>828</v>
      </c>
      <c r="C85" s="38" t="s">
        <v>836</v>
      </c>
      <c r="D85" s="38"/>
      <c r="E85" s="38"/>
      <c r="F85" s="38"/>
      <c r="G85" s="38"/>
      <c r="H85" s="38"/>
      <c r="I85" s="38"/>
      <c r="J85" s="38"/>
      <c r="K85" s="686"/>
    </row>
    <row r="86" spans="1:11">
      <c r="A86" s="40"/>
      <c r="B86" s="41"/>
      <c r="C86" s="38"/>
      <c r="D86" s="38" t="s">
        <v>885</v>
      </c>
      <c r="E86" s="38"/>
      <c r="F86" s="38"/>
      <c r="G86" s="38"/>
      <c r="H86" s="38"/>
      <c r="I86" s="38"/>
      <c r="J86" s="38"/>
      <c r="K86" s="704"/>
    </row>
    <row r="87" spans="1:11">
      <c r="A87" s="46"/>
      <c r="B87" s="47"/>
      <c r="C87" s="48"/>
      <c r="D87" s="48" t="s">
        <v>886</v>
      </c>
      <c r="E87" s="48"/>
      <c r="F87" s="48"/>
      <c r="G87" s="48"/>
      <c r="H87" s="48"/>
      <c r="I87" s="48"/>
      <c r="J87" s="48"/>
      <c r="K87" s="687"/>
    </row>
    <row r="88" spans="1:11">
      <c r="A88" s="42"/>
      <c r="B88" s="43"/>
      <c r="C88" s="44"/>
      <c r="D88" s="44" t="s">
        <v>838</v>
      </c>
      <c r="E88" s="44"/>
      <c r="F88" s="44"/>
      <c r="G88" s="44"/>
      <c r="H88" s="44"/>
      <c r="I88" s="44"/>
      <c r="J88" s="44"/>
      <c r="K88" s="707">
        <v>0</v>
      </c>
    </row>
    <row r="89" spans="1:11">
      <c r="A89" s="40"/>
      <c r="B89" s="41"/>
      <c r="C89" s="38"/>
      <c r="D89" s="38" t="s">
        <v>887</v>
      </c>
      <c r="E89" s="38"/>
      <c r="F89" s="38"/>
      <c r="G89" s="38"/>
      <c r="H89" s="38"/>
      <c r="I89" s="38"/>
      <c r="J89" s="38"/>
      <c r="K89" s="704"/>
    </row>
    <row r="90" spans="1:11">
      <c r="A90" s="51"/>
      <c r="D90" s="33" t="s">
        <v>888</v>
      </c>
      <c r="K90" s="706"/>
    </row>
    <row r="91" spans="1:11">
      <c r="A91" s="46"/>
      <c r="B91" s="47"/>
      <c r="C91" s="48"/>
      <c r="D91" s="48" t="s">
        <v>889</v>
      </c>
      <c r="E91" s="48"/>
      <c r="F91" s="48"/>
      <c r="G91" s="48"/>
      <c r="H91" s="48"/>
      <c r="I91" s="48"/>
      <c r="J91" s="48"/>
      <c r="K91" s="687"/>
    </row>
    <row r="92" spans="1:11">
      <c r="A92" s="42"/>
      <c r="B92" s="43"/>
      <c r="C92" s="44"/>
      <c r="D92" s="44" t="s">
        <v>890</v>
      </c>
      <c r="E92" s="44"/>
      <c r="F92" s="44"/>
      <c r="G92" s="44"/>
      <c r="H92" s="44"/>
      <c r="I92" s="44"/>
      <c r="J92" s="44"/>
      <c r="K92" s="707"/>
    </row>
    <row r="93" spans="1:11">
      <c r="A93" s="40"/>
      <c r="B93" s="41"/>
      <c r="C93" s="38"/>
      <c r="D93" s="38" t="s">
        <v>891</v>
      </c>
      <c r="E93" s="38"/>
      <c r="F93" s="38"/>
      <c r="G93" s="38"/>
      <c r="H93" s="38"/>
      <c r="I93" s="38"/>
      <c r="J93" s="38"/>
      <c r="K93" s="704"/>
    </row>
    <row r="94" spans="1:11">
      <c r="A94" s="46"/>
      <c r="B94" s="47"/>
      <c r="C94" s="48"/>
      <c r="D94" s="48" t="s">
        <v>892</v>
      </c>
      <c r="E94" s="48"/>
      <c r="F94" s="48"/>
      <c r="G94" s="48"/>
      <c r="H94" s="48"/>
      <c r="I94" s="48"/>
      <c r="J94" s="48"/>
      <c r="K94" s="687"/>
    </row>
    <row r="95" spans="1:11">
      <c r="A95" s="42"/>
      <c r="B95" s="43"/>
      <c r="C95" s="44"/>
      <c r="D95" s="44" t="s">
        <v>893</v>
      </c>
      <c r="E95" s="44"/>
      <c r="F95" s="44"/>
      <c r="G95" s="44"/>
      <c r="H95" s="44"/>
      <c r="I95" s="44"/>
      <c r="J95" s="44"/>
      <c r="K95" s="707"/>
    </row>
    <row r="96" spans="1:11">
      <c r="A96" s="40"/>
      <c r="B96" s="41"/>
      <c r="C96" s="38"/>
      <c r="D96" s="38" t="s">
        <v>894</v>
      </c>
      <c r="E96" s="38"/>
      <c r="F96" s="38"/>
      <c r="G96" s="38"/>
      <c r="H96" s="38"/>
      <c r="I96" s="38"/>
      <c r="J96" s="38"/>
      <c r="K96" s="704">
        <v>0</v>
      </c>
    </row>
    <row r="97" spans="1:11">
      <c r="A97" s="40"/>
      <c r="B97" s="41"/>
      <c r="C97" s="38"/>
      <c r="D97" s="38"/>
      <c r="E97" s="38"/>
      <c r="F97" s="38"/>
      <c r="G97" s="38"/>
      <c r="H97" s="38"/>
      <c r="I97" s="38"/>
      <c r="J97" s="38" t="s">
        <v>114</v>
      </c>
      <c r="K97" s="684">
        <f>K86+K88+K89+K90+K92+K93+K95+K96</f>
        <v>0</v>
      </c>
    </row>
    <row r="98" spans="1:11">
      <c r="A98" s="40"/>
      <c r="B98" s="41"/>
      <c r="C98" s="38"/>
      <c r="D98" s="38"/>
      <c r="E98" s="38"/>
      <c r="F98" s="38"/>
      <c r="G98" s="38"/>
      <c r="H98" s="38" t="s">
        <v>895</v>
      </c>
      <c r="I98" s="38"/>
      <c r="J98" s="38"/>
      <c r="K98" s="684">
        <f>K78+K84-K97</f>
        <v>0</v>
      </c>
    </row>
    <row r="99" spans="1:11">
      <c r="A99" s="40"/>
      <c r="B99" s="41"/>
      <c r="C99" s="38"/>
      <c r="D99" s="38" t="s">
        <v>896</v>
      </c>
      <c r="E99" s="38"/>
      <c r="F99" s="38"/>
      <c r="G99" s="38"/>
      <c r="H99" s="38"/>
      <c r="I99" s="38"/>
      <c r="J99" s="38"/>
      <c r="K99" s="709">
        <v>0.01</v>
      </c>
    </row>
    <row r="100" spans="1:11">
      <c r="A100" s="40" t="s">
        <v>897</v>
      </c>
      <c r="B100" s="41"/>
      <c r="C100" s="38"/>
      <c r="D100" s="38"/>
      <c r="E100" s="38"/>
      <c r="F100" s="38"/>
      <c r="G100" s="38"/>
      <c r="H100" s="38"/>
      <c r="I100" s="38"/>
      <c r="J100" s="38"/>
      <c r="K100" s="684">
        <f>K98*0.99</f>
        <v>0</v>
      </c>
    </row>
    <row r="101" spans="1:11">
      <c r="A101" s="51"/>
      <c r="K101" s="685"/>
    </row>
    <row r="102" spans="1:11">
      <c r="A102" s="56">
        <v>11</v>
      </c>
      <c r="B102" s="36" t="s">
        <v>828</v>
      </c>
      <c r="C102" s="37" t="s">
        <v>898</v>
      </c>
      <c r="D102" s="38"/>
      <c r="E102" s="38"/>
      <c r="F102" s="38"/>
      <c r="G102" s="38"/>
      <c r="H102" s="38"/>
      <c r="I102" s="38"/>
      <c r="J102" s="39"/>
      <c r="K102" s="704"/>
    </row>
    <row r="103" spans="1:11">
      <c r="A103" s="51"/>
      <c r="K103" s="685"/>
    </row>
    <row r="104" spans="1:11">
      <c r="A104" s="53">
        <v>12</v>
      </c>
      <c r="B104" s="54" t="s">
        <v>828</v>
      </c>
      <c r="C104" s="55" t="s">
        <v>899</v>
      </c>
      <c r="D104" s="48"/>
      <c r="E104" s="48"/>
      <c r="F104" s="48"/>
      <c r="G104" s="48"/>
      <c r="H104" s="48"/>
      <c r="I104" s="48"/>
      <c r="J104" s="48"/>
      <c r="K104" s="687"/>
    </row>
    <row r="105" spans="1:11">
      <c r="A105" s="51"/>
      <c r="C105" s="63" t="s">
        <v>900</v>
      </c>
      <c r="K105" s="689"/>
    </row>
    <row r="106" spans="1:11">
      <c r="A106" s="42"/>
      <c r="B106" s="43"/>
      <c r="C106" s="61" t="s">
        <v>901</v>
      </c>
      <c r="D106" s="44"/>
      <c r="E106" s="44"/>
      <c r="F106" s="44"/>
      <c r="G106" s="44"/>
      <c r="H106" s="44"/>
      <c r="I106" s="44"/>
      <c r="J106" s="44"/>
      <c r="K106" s="704"/>
    </row>
    <row r="107" spans="1:11">
      <c r="A107" s="51"/>
      <c r="K107" s="685"/>
    </row>
    <row r="108" spans="1:11">
      <c r="A108" s="53">
        <v>13</v>
      </c>
      <c r="B108" s="54" t="s">
        <v>828</v>
      </c>
      <c r="C108" s="55" t="s">
        <v>902</v>
      </c>
      <c r="D108" s="48"/>
      <c r="E108" s="48"/>
      <c r="F108" s="48"/>
      <c r="G108" s="48"/>
      <c r="H108" s="48"/>
      <c r="I108" s="48"/>
      <c r="J108" s="48"/>
      <c r="K108" s="690"/>
    </row>
    <row r="109" spans="1:11">
      <c r="A109" s="42"/>
      <c r="B109" s="43"/>
      <c r="C109" s="61" t="s">
        <v>903</v>
      </c>
      <c r="D109" s="44"/>
      <c r="E109" s="44"/>
      <c r="F109" s="44"/>
      <c r="G109" s="44"/>
      <c r="H109" s="44"/>
      <c r="I109" s="44"/>
      <c r="J109" s="44"/>
      <c r="K109" s="691"/>
    </row>
    <row r="110" spans="1:11">
      <c r="A110" s="40" t="s">
        <v>904</v>
      </c>
      <c r="B110" s="41"/>
      <c r="C110" s="38"/>
      <c r="D110" s="38"/>
      <c r="E110" s="38"/>
      <c r="F110" s="38"/>
      <c r="G110" s="38"/>
      <c r="H110" s="38"/>
      <c r="I110" s="38"/>
      <c r="J110" s="38"/>
      <c r="K110" s="704"/>
    </row>
    <row r="111" spans="1:11">
      <c r="A111" s="59" t="s">
        <v>108</v>
      </c>
      <c r="B111" s="41" t="s">
        <v>828</v>
      </c>
      <c r="C111" s="38" t="s">
        <v>905</v>
      </c>
      <c r="D111" s="38"/>
      <c r="E111" s="38"/>
      <c r="F111" s="38"/>
      <c r="G111" s="38"/>
      <c r="H111" s="38"/>
      <c r="I111" s="38"/>
      <c r="J111" s="38"/>
      <c r="K111" s="684"/>
    </row>
    <row r="112" spans="1:11">
      <c r="A112" s="46"/>
      <c r="B112" s="47"/>
      <c r="C112" s="48"/>
      <c r="D112" s="48" t="s">
        <v>906</v>
      </c>
      <c r="E112" s="48"/>
      <c r="F112" s="48"/>
      <c r="G112" s="48"/>
      <c r="H112" s="48"/>
      <c r="I112" s="48"/>
      <c r="J112" s="48"/>
      <c r="K112" s="687"/>
    </row>
    <row r="113" spans="1:11">
      <c r="A113" s="42"/>
      <c r="B113" s="43"/>
      <c r="C113" s="44"/>
      <c r="D113" s="44" t="s">
        <v>907</v>
      </c>
      <c r="E113" s="44"/>
      <c r="F113" s="44"/>
      <c r="G113" s="44"/>
      <c r="H113" s="44"/>
      <c r="I113" s="44"/>
      <c r="J113" s="44"/>
      <c r="K113" s="707"/>
    </row>
    <row r="114" spans="1:11">
      <c r="A114" s="46"/>
      <c r="B114" s="47"/>
      <c r="C114" s="48"/>
      <c r="D114" s="48" t="s">
        <v>908</v>
      </c>
      <c r="E114" s="48"/>
      <c r="F114" s="48"/>
      <c r="G114" s="48"/>
      <c r="H114" s="48"/>
      <c r="I114" s="48"/>
      <c r="J114" s="48"/>
      <c r="K114" s="687"/>
    </row>
    <row r="115" spans="1:11">
      <c r="A115" s="42"/>
      <c r="B115" s="43"/>
      <c r="C115" s="44"/>
      <c r="D115" s="44" t="s">
        <v>909</v>
      </c>
      <c r="E115" s="44"/>
      <c r="F115" s="44"/>
      <c r="G115" s="44"/>
      <c r="H115" s="44"/>
      <c r="I115" s="44"/>
      <c r="J115" s="44"/>
      <c r="K115" s="707"/>
    </row>
    <row r="116" spans="1:11">
      <c r="A116" s="51"/>
      <c r="J116" s="33" t="s">
        <v>114</v>
      </c>
      <c r="K116" s="689">
        <f>K113+K115</f>
        <v>0</v>
      </c>
    </row>
    <row r="117" spans="1:11">
      <c r="A117" s="59" t="s">
        <v>113</v>
      </c>
      <c r="B117" s="41" t="s">
        <v>828</v>
      </c>
      <c r="C117" s="38" t="s">
        <v>910</v>
      </c>
      <c r="D117" s="38"/>
      <c r="E117" s="38"/>
      <c r="F117" s="38"/>
      <c r="G117" s="38"/>
      <c r="H117" s="38"/>
      <c r="I117" s="38"/>
      <c r="J117" s="38"/>
      <c r="K117" s="684"/>
    </row>
    <row r="118" spans="1:11">
      <c r="A118" s="46"/>
      <c r="B118" s="47"/>
      <c r="C118" s="48"/>
      <c r="D118" s="48" t="s">
        <v>911</v>
      </c>
      <c r="E118" s="48"/>
      <c r="F118" s="48"/>
      <c r="G118" s="48"/>
      <c r="H118" s="48"/>
      <c r="I118" s="48"/>
      <c r="J118" s="48"/>
      <c r="K118" s="705"/>
    </row>
    <row r="119" spans="1:11">
      <c r="A119" s="51"/>
      <c r="D119" s="33" t="s">
        <v>912</v>
      </c>
      <c r="K119" s="689"/>
    </row>
    <row r="120" spans="1:11">
      <c r="A120" s="42"/>
      <c r="B120" s="43"/>
      <c r="C120" s="44"/>
      <c r="D120" s="44" t="s">
        <v>913</v>
      </c>
      <c r="E120" s="44"/>
      <c r="F120" s="44"/>
      <c r="G120" s="44"/>
      <c r="H120" s="44"/>
      <c r="I120" s="44"/>
      <c r="J120" s="44"/>
      <c r="K120" s="688"/>
    </row>
    <row r="121" spans="1:11">
      <c r="A121" s="46"/>
      <c r="B121" s="47"/>
      <c r="C121" s="48"/>
      <c r="D121" s="710" t="s">
        <v>914</v>
      </c>
      <c r="E121" s="710"/>
      <c r="F121" s="710"/>
      <c r="G121" s="710"/>
      <c r="H121" s="710"/>
      <c r="I121" s="710"/>
      <c r="J121" s="710"/>
      <c r="K121" s="705"/>
    </row>
    <row r="122" spans="1:11">
      <c r="A122" s="42"/>
      <c r="B122" s="43"/>
      <c r="C122" s="44"/>
      <c r="D122" s="701"/>
      <c r="E122" s="701"/>
      <c r="F122" s="701"/>
      <c r="G122" s="701"/>
      <c r="H122" s="701"/>
      <c r="I122" s="701"/>
      <c r="J122" s="701"/>
      <c r="K122" s="707"/>
    </row>
    <row r="123" spans="1:11">
      <c r="A123" s="51"/>
      <c r="J123" s="33" t="s">
        <v>114</v>
      </c>
      <c r="K123" s="689">
        <f>K118+K121+K122</f>
        <v>0</v>
      </c>
    </row>
    <row r="124" spans="1:11">
      <c r="A124" s="46" t="s">
        <v>915</v>
      </c>
      <c r="B124" s="47"/>
      <c r="C124" s="48"/>
      <c r="D124" s="48"/>
      <c r="E124" s="48"/>
      <c r="F124" s="48"/>
      <c r="G124" s="48"/>
      <c r="H124" s="48"/>
      <c r="I124" s="48"/>
      <c r="J124" s="48"/>
      <c r="K124" s="687">
        <f>K110+K116-K123</f>
        <v>0</v>
      </c>
    </row>
    <row r="125" spans="1:11">
      <c r="A125" s="51"/>
      <c r="K125" s="688"/>
    </row>
    <row r="126" spans="1:11">
      <c r="A126" s="40" t="s">
        <v>916</v>
      </c>
      <c r="B126" s="41"/>
      <c r="C126" s="38"/>
      <c r="D126" s="38"/>
      <c r="E126" s="38"/>
      <c r="F126" s="38"/>
      <c r="G126" s="38"/>
      <c r="H126" s="38"/>
      <c r="I126" s="38"/>
      <c r="J126" s="38"/>
      <c r="K126" s="686">
        <f>K100+K102+K106+K124</f>
        <v>0</v>
      </c>
    </row>
    <row r="127" spans="1:11">
      <c r="A127" s="51"/>
      <c r="K127" s="685"/>
    </row>
    <row r="128" spans="1:11">
      <c r="A128" s="51"/>
      <c r="K128" s="685"/>
    </row>
    <row r="129" spans="1:13">
      <c r="A129" s="64" t="s">
        <v>113</v>
      </c>
      <c r="B129" s="65" t="s">
        <v>828</v>
      </c>
      <c r="C129" s="63" t="s">
        <v>917</v>
      </c>
      <c r="K129" s="685"/>
    </row>
    <row r="130" spans="1:13">
      <c r="A130" s="40" t="s">
        <v>879</v>
      </c>
      <c r="B130" s="41"/>
      <c r="C130" s="38"/>
      <c r="D130" s="38"/>
      <c r="E130" s="38"/>
      <c r="F130" s="38"/>
      <c r="G130" s="38"/>
      <c r="H130" s="38"/>
      <c r="I130" s="38"/>
      <c r="J130" s="38"/>
      <c r="K130" s="684">
        <f>K73</f>
        <v>0</v>
      </c>
    </row>
    <row r="131" spans="1:13">
      <c r="A131" s="40" t="s">
        <v>918</v>
      </c>
      <c r="B131" s="41"/>
      <c r="C131" s="38"/>
      <c r="D131" s="38"/>
      <c r="E131" s="38"/>
      <c r="F131" s="38"/>
      <c r="G131" s="38"/>
      <c r="H131" s="38"/>
      <c r="I131" s="38"/>
      <c r="J131" s="38"/>
      <c r="K131" s="684">
        <f>K126</f>
        <v>0</v>
      </c>
    </row>
    <row r="132" spans="1:13">
      <c r="A132" s="40" t="s">
        <v>919</v>
      </c>
      <c r="B132" s="41"/>
      <c r="C132" s="38"/>
      <c r="D132" s="38"/>
      <c r="E132" s="38"/>
      <c r="F132" s="38"/>
      <c r="G132" s="38"/>
      <c r="H132" s="38"/>
      <c r="I132" s="38"/>
      <c r="J132" s="38"/>
      <c r="K132" s="684">
        <f>K130-K131</f>
        <v>0</v>
      </c>
    </row>
    <row r="133" spans="1:13">
      <c r="A133" s="46" t="s">
        <v>920</v>
      </c>
      <c r="B133" s="47"/>
      <c r="C133" s="48"/>
      <c r="D133" s="48"/>
      <c r="E133" s="48"/>
      <c r="F133" s="48"/>
      <c r="G133" s="48"/>
      <c r="H133" s="48"/>
      <c r="I133" s="48"/>
      <c r="J133" s="48"/>
      <c r="K133" s="687"/>
    </row>
    <row r="134" spans="1:13">
      <c r="A134" s="42" t="s">
        <v>921</v>
      </c>
      <c r="B134" s="43"/>
      <c r="C134" s="44"/>
      <c r="D134" s="44"/>
      <c r="E134" s="44"/>
      <c r="F134" s="44"/>
      <c r="G134" s="44"/>
      <c r="H134" s="44"/>
      <c r="I134" s="44"/>
      <c r="J134" s="44"/>
      <c r="K134" s="724">
        <f>IF(AND(K132&gt;0,$M$137=TRUE),$K$132*1.05,IF(AND($K$132&gt;0,$M$136=TRUE),$K$132,0))</f>
        <v>0</v>
      </c>
    </row>
    <row r="135" spans="1:13">
      <c r="A135" s="48"/>
      <c r="B135" s="47"/>
      <c r="C135" s="48"/>
      <c r="D135" s="48"/>
      <c r="E135" s="48"/>
      <c r="F135" s="48"/>
      <c r="G135" s="48"/>
      <c r="H135" s="48"/>
      <c r="I135" s="48"/>
      <c r="J135" s="48"/>
      <c r="K135" s="695"/>
    </row>
    <row r="136" spans="1:13">
      <c r="A136" s="66" t="s">
        <v>922</v>
      </c>
      <c r="B136" s="65" t="s">
        <v>828</v>
      </c>
      <c r="C136" s="63" t="s">
        <v>923</v>
      </c>
      <c r="D136" s="63"/>
      <c r="E136" s="63"/>
      <c r="F136" s="63"/>
      <c r="G136" s="63"/>
      <c r="H136" s="63"/>
      <c r="K136" s="696"/>
      <c r="M136" s="725" t="b">
        <v>1</v>
      </c>
    </row>
    <row r="137" spans="1:13">
      <c r="K137" s="696"/>
      <c r="M137" s="726" t="b">
        <v>0</v>
      </c>
    </row>
    <row r="138" spans="1:13">
      <c r="A138" s="63" t="s">
        <v>924</v>
      </c>
      <c r="B138" s="65"/>
      <c r="C138" s="63"/>
    </row>
    <row r="139" spans="1:13">
      <c r="K139" s="696"/>
    </row>
    <row r="140" spans="1:13">
      <c r="H140" s="44"/>
      <c r="I140" s="698" t="e">
        <f>RBC!C67</f>
        <v>#DIV/0!</v>
      </c>
      <c r="J140" s="44"/>
      <c r="K140" s="696"/>
    </row>
    <row r="141" spans="1:13">
      <c r="D141" s="33" t="s">
        <v>925</v>
      </c>
      <c r="K141" s="696"/>
    </row>
    <row r="142" spans="1:13">
      <c r="H142" s="44"/>
      <c r="I142" s="723">
        <f>K23</f>
        <v>0</v>
      </c>
      <c r="J142" s="44"/>
      <c r="K142" s="696"/>
    </row>
    <row r="143" spans="1:13">
      <c r="K143" s="696"/>
    </row>
    <row r="144" spans="1:13">
      <c r="K144" s="696"/>
    </row>
    <row r="145" spans="1:11">
      <c r="A145" s="66" t="s">
        <v>926</v>
      </c>
      <c r="B145" s="65" t="s">
        <v>828</v>
      </c>
      <c r="C145" s="63" t="s">
        <v>927</v>
      </c>
      <c r="K145" s="696"/>
    </row>
    <row r="146" spans="1:11">
      <c r="A146" s="44"/>
      <c r="B146" s="43"/>
      <c r="C146" s="44"/>
      <c r="D146" s="44"/>
      <c r="E146" s="44"/>
      <c r="F146" s="44"/>
      <c r="G146" s="44"/>
      <c r="H146" s="44"/>
      <c r="I146" s="44"/>
      <c r="J146" s="44"/>
      <c r="K146" s="697"/>
    </row>
    <row r="147" spans="1:11">
      <c r="A147" s="53" t="s">
        <v>928</v>
      </c>
      <c r="B147" s="47"/>
      <c r="C147" s="48"/>
      <c r="D147" s="48"/>
      <c r="E147" s="48"/>
      <c r="F147" s="48"/>
      <c r="G147" s="48"/>
      <c r="H147" s="48"/>
      <c r="I147" s="48"/>
      <c r="J147" s="48"/>
      <c r="K147" s="687"/>
    </row>
    <row r="148" spans="1:11">
      <c r="A148" s="58"/>
      <c r="B148" s="43"/>
      <c r="C148" s="44"/>
      <c r="D148" s="44"/>
      <c r="E148" s="44"/>
      <c r="F148" s="44"/>
      <c r="G148" s="44"/>
      <c r="H148" s="44"/>
      <c r="I148" s="44"/>
      <c r="J148" s="44"/>
      <c r="K148" s="707">
        <f>'trial balance'!B11</f>
        <v>0</v>
      </c>
    </row>
    <row r="149" spans="1:11">
      <c r="A149" s="56" t="s">
        <v>929</v>
      </c>
      <c r="B149" s="41"/>
      <c r="C149" s="38"/>
      <c r="D149" s="38"/>
      <c r="E149" s="38"/>
      <c r="F149" s="38"/>
      <c r="G149" s="38"/>
      <c r="H149" s="38"/>
      <c r="I149" s="38"/>
      <c r="J149" s="38"/>
      <c r="K149" s="727">
        <f>IF(K134&gt;0,K134,0)</f>
        <v>0</v>
      </c>
    </row>
    <row r="150" spans="1:11">
      <c r="A150" s="53" t="s">
        <v>930</v>
      </c>
      <c r="B150" s="47"/>
      <c r="C150" s="48"/>
      <c r="D150" s="48"/>
      <c r="E150" s="48"/>
      <c r="F150" s="48"/>
      <c r="G150" s="48"/>
      <c r="H150" s="48"/>
      <c r="I150" s="48"/>
      <c r="J150" s="48"/>
      <c r="K150" s="687"/>
    </row>
    <row r="151" spans="1:11">
      <c r="A151" s="58"/>
      <c r="B151" s="43"/>
      <c r="C151" s="44"/>
      <c r="D151" s="44"/>
      <c r="E151" s="44"/>
      <c r="F151" s="44"/>
      <c r="G151" s="44"/>
      <c r="H151" s="44"/>
      <c r="I151" s="44"/>
      <c r="J151" s="44"/>
      <c r="K151" s="688">
        <f>IF(K149&gt;K148,K149-K148,0)</f>
        <v>0</v>
      </c>
    </row>
    <row r="152" spans="1:11">
      <c r="A152" s="53" t="s">
        <v>931</v>
      </c>
      <c r="B152" s="47"/>
      <c r="C152" s="48"/>
      <c r="D152" s="48"/>
      <c r="E152" s="48"/>
      <c r="F152" s="48"/>
      <c r="G152" s="48"/>
      <c r="H152" s="48"/>
      <c r="I152" s="48"/>
      <c r="J152" s="48"/>
      <c r="K152" s="690"/>
    </row>
    <row r="153" spans="1:11">
      <c r="A153" s="58" t="s">
        <v>932</v>
      </c>
      <c r="B153" s="43"/>
      <c r="C153" s="44"/>
      <c r="D153" s="44"/>
      <c r="E153" s="44"/>
      <c r="F153" s="44"/>
      <c r="G153" s="44"/>
      <c r="H153" s="44"/>
      <c r="I153" s="44"/>
      <c r="J153" s="44"/>
      <c r="K153" s="691"/>
    </row>
  </sheetData>
  <sheetProtection password="9399" sheet="1" objects="1" scenarios="1"/>
  <customSheetViews>
    <customSheetView guid="{504CC784-4394-4648-B9CE-DFC32001696E}" showGridLines="0" state="hidden" showRuler="0">
      <selection activeCell="A19" sqref="A19"/>
      <pageMargins left="0" right="0" top="0" bottom="0" header="0" footer="0"/>
      <headerFooter alignWithMargins="0"/>
    </customSheetView>
  </customSheetViews>
  <phoneticPr fontId="22" type="noConversion"/>
  <printOptions horizontalCentered="1"/>
  <pageMargins left="0.75" right="0.75" top="1" bottom="0.75" header="0.5" footer="0.5"/>
  <pageSetup scale="97" orientation="portrait" r:id="rId1"/>
  <headerFooter alignWithMargins="0">
    <oddFooter>&amp;CPage &amp;P of &amp;N&amp;R&amp;A</oddFooter>
  </headerFooter>
  <rowBreaks count="1" manualBreakCount="1">
    <brk id="52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Pict="0" macro="[0]!rbc">
                <anchor>
                  <from>
                    <xdr:col>0</xdr:col>
                    <xdr:colOff>19050</xdr:colOff>
                    <xdr:row>0</xdr:row>
                    <xdr:rowOff>0</xdr:rowOff>
                  </from>
                  <to>
                    <xdr:col>3</xdr:col>
                    <xdr:colOff>438150</xdr:colOff>
                    <xdr:row>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Button 2">
              <controlPr defaultSize="0" print="0" autoFill="0" autoPict="0" macro="[0]!navigate">
                <anchor>
                  <from>
                    <xdr:col>0</xdr:col>
                    <xdr:colOff>19050</xdr:colOff>
                    <xdr:row>1</xdr:row>
                    <xdr:rowOff>57150</xdr:rowOff>
                  </from>
                  <to>
                    <xdr:col>3</xdr:col>
                    <xdr:colOff>438150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4" r:id="rId6" name="Check Box 6">
              <controlPr defaultSize="0" autoFill="0" autoLine="0" autoPict="0">
                <anchor moveWithCells="1">
                  <from>
                    <xdr:col>0</xdr:col>
                    <xdr:colOff>0</xdr:colOff>
                    <xdr:row>138</xdr:row>
                    <xdr:rowOff>133350</xdr:rowOff>
                  </from>
                  <to>
                    <xdr:col>7</xdr:col>
                    <xdr:colOff>228600</xdr:colOff>
                    <xdr:row>140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5" r:id="rId7" name="Check Box 7">
              <controlPr locked="0" defaultSize="0" autoFill="0" autoLine="0" autoPict="0">
                <anchor moveWithCells="1">
                  <from>
                    <xdr:col>0</xdr:col>
                    <xdr:colOff>19050</xdr:colOff>
                    <xdr:row>140</xdr:row>
                    <xdr:rowOff>133350</xdr:rowOff>
                  </from>
                  <to>
                    <xdr:col>6</xdr:col>
                    <xdr:colOff>104775</xdr:colOff>
                    <xdr:row>142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7" r:id="rId8" name="Check Box 39">
              <controlPr defaultSize="0" autoFill="0" autoLine="0" autoPict="0">
                <anchor moveWithCells="1">
                  <from>
                    <xdr:col>5</xdr:col>
                    <xdr:colOff>171450</xdr:colOff>
                    <xdr:row>134</xdr:row>
                    <xdr:rowOff>133350</xdr:rowOff>
                  </from>
                  <to>
                    <xdr:col>6</xdr:col>
                    <xdr:colOff>371475</xdr:colOff>
                    <xdr:row>136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8" r:id="rId9" name="Check Box 40">
              <controlPr defaultSize="0" autoFill="0" autoLine="0" autoPict="0">
                <anchor moveWithCells="1">
                  <from>
                    <xdr:col>7</xdr:col>
                    <xdr:colOff>276225</xdr:colOff>
                    <xdr:row>134</xdr:row>
                    <xdr:rowOff>142875</xdr:rowOff>
                  </from>
                  <to>
                    <xdr:col>8</xdr:col>
                    <xdr:colOff>485775</xdr:colOff>
                    <xdr:row>136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16919-A0EF-47EA-8380-3123A2FA3661}">
  <sheetPr codeName="Sheet23"/>
  <dimension ref="A1:J56"/>
  <sheetViews>
    <sheetView workbookViewId="0">
      <selection activeCell="B11" sqref="B11"/>
    </sheetView>
  </sheetViews>
  <sheetFormatPr defaultColWidth="9.28515625" defaultRowHeight="11.25"/>
  <cols>
    <col min="1" max="1" width="7.28515625" style="22" customWidth="1"/>
    <col min="2" max="2" width="39" style="22" customWidth="1"/>
    <col min="3" max="3" width="9.28515625" style="22"/>
    <col min="4" max="4" width="8.5703125" style="22" customWidth="1"/>
    <col min="5" max="5" width="8.28515625" style="22" customWidth="1"/>
    <col min="6" max="7" width="7.7109375" style="22" customWidth="1"/>
    <col min="8" max="8" width="8.28515625" style="22" customWidth="1"/>
    <col min="9" max="9" width="38.7109375" style="22" customWidth="1"/>
    <col min="10" max="10" width="7.5703125" style="22" customWidth="1"/>
    <col min="11" max="16384" width="9.28515625" style="22"/>
  </cols>
  <sheetData>
    <row r="1" spans="1:10">
      <c r="A1" s="21" t="s">
        <v>933</v>
      </c>
      <c r="C1" s="23"/>
      <c r="D1" s="23"/>
      <c r="E1" s="23"/>
      <c r="F1" s="23"/>
      <c r="G1" s="23"/>
      <c r="H1" s="23"/>
    </row>
    <row r="2" spans="1:10">
      <c r="A2" s="21" t="str">
        <f>"FIRM NAME:  "&amp;'trial balance'!A1</f>
        <v>FIRM NAME:  NAME OF THE TRADING PARTICIPANT</v>
      </c>
      <c r="C2" s="23"/>
      <c r="D2" s="23"/>
      <c r="E2" s="23"/>
      <c r="F2" s="23"/>
      <c r="G2" s="23"/>
      <c r="H2" s="23"/>
    </row>
    <row r="3" spans="1:10">
      <c r="A3" s="21" t="str">
        <f>"MONTH ENDING:  "&amp;'trial balance'!A3:C3</f>
        <v>MONTH ENDING:  mm/dd/yyyy</v>
      </c>
      <c r="C3" s="23"/>
      <c r="D3" s="23"/>
      <c r="E3" s="23"/>
      <c r="F3" s="23"/>
      <c r="G3" s="23"/>
      <c r="H3" s="23"/>
    </row>
    <row r="4" spans="1:10" ht="12" thickBot="1">
      <c r="C4" s="23"/>
      <c r="D4" s="23"/>
      <c r="E4" s="23"/>
      <c r="F4" s="23"/>
      <c r="G4" s="23"/>
      <c r="H4" s="23"/>
    </row>
    <row r="5" spans="1:10">
      <c r="A5" s="5" t="s">
        <v>934</v>
      </c>
      <c r="B5" s="24" t="s">
        <v>935</v>
      </c>
      <c r="C5" s="25" t="s">
        <v>936</v>
      </c>
      <c r="D5" s="25" t="s">
        <v>937</v>
      </c>
      <c r="E5" s="25" t="s">
        <v>938</v>
      </c>
      <c r="F5" s="25" t="s">
        <v>939</v>
      </c>
      <c r="G5" s="25" t="s">
        <v>940</v>
      </c>
      <c r="H5" s="25" t="s">
        <v>941</v>
      </c>
      <c r="I5" s="24" t="s">
        <v>942</v>
      </c>
      <c r="J5" s="26" t="s">
        <v>934</v>
      </c>
    </row>
    <row r="6" spans="1:10">
      <c r="A6" s="27">
        <v>1</v>
      </c>
      <c r="B6" s="16" t="s">
        <v>943</v>
      </c>
      <c r="C6" s="17">
        <v>0</v>
      </c>
      <c r="D6" s="17"/>
      <c r="E6" s="17"/>
      <c r="F6" s="17"/>
      <c r="G6" s="17"/>
      <c r="H6" s="17"/>
      <c r="I6" s="16" t="s">
        <v>943</v>
      </c>
      <c r="J6" s="18">
        <v>1</v>
      </c>
    </row>
    <row r="7" spans="1:10">
      <c r="A7" s="27">
        <v>2</v>
      </c>
      <c r="B7" s="16" t="s">
        <v>944</v>
      </c>
      <c r="C7" s="17">
        <v>0</v>
      </c>
      <c r="D7" s="17"/>
      <c r="E7" s="17"/>
      <c r="F7" s="17"/>
      <c r="G7" s="17"/>
      <c r="H7" s="17"/>
      <c r="I7" s="16" t="s">
        <v>944</v>
      </c>
      <c r="J7" s="18">
        <v>2</v>
      </c>
    </row>
    <row r="8" spans="1:10">
      <c r="A8" s="27">
        <v>3</v>
      </c>
      <c r="B8" s="16" t="s">
        <v>945</v>
      </c>
      <c r="C8" s="17">
        <f>(C6)-(C7)</f>
        <v>0</v>
      </c>
      <c r="D8" s="17"/>
      <c r="E8" s="17"/>
      <c r="F8" s="17"/>
      <c r="G8" s="17"/>
      <c r="H8" s="17"/>
      <c r="I8" s="16" t="s">
        <v>945</v>
      </c>
      <c r="J8" s="18">
        <v>3</v>
      </c>
    </row>
    <row r="9" spans="1:10">
      <c r="A9" s="27">
        <v>4</v>
      </c>
      <c r="B9" s="16" t="s">
        <v>946</v>
      </c>
      <c r="C9" s="19"/>
      <c r="D9" s="19"/>
      <c r="E9" s="19"/>
      <c r="F9" s="19"/>
      <c r="G9" s="19"/>
      <c r="H9" s="19"/>
      <c r="I9" s="16" t="s">
        <v>946</v>
      </c>
      <c r="J9" s="18">
        <v>4</v>
      </c>
    </row>
    <row r="10" spans="1:10">
      <c r="A10" s="27"/>
      <c r="B10" s="16" t="s">
        <v>947</v>
      </c>
      <c r="C10" s="19"/>
      <c r="D10" s="19"/>
      <c r="E10" s="19"/>
      <c r="F10" s="19"/>
      <c r="G10" s="19"/>
      <c r="H10" s="19"/>
      <c r="I10" s="16" t="s">
        <v>947</v>
      </c>
      <c r="J10" s="18"/>
    </row>
    <row r="11" spans="1:10">
      <c r="A11" s="27"/>
      <c r="B11" s="16" t="s">
        <v>948</v>
      </c>
      <c r="C11" s="17">
        <v>0</v>
      </c>
      <c r="D11" s="17"/>
      <c r="E11" s="17"/>
      <c r="F11" s="17"/>
      <c r="G11" s="17"/>
      <c r="H11" s="17"/>
      <c r="I11" s="16" t="s">
        <v>948</v>
      </c>
      <c r="J11" s="18"/>
    </row>
    <row r="12" spans="1:10">
      <c r="A12" s="27"/>
      <c r="B12" s="16" t="s">
        <v>949</v>
      </c>
      <c r="C12" s="17">
        <v>0</v>
      </c>
      <c r="D12" s="17"/>
      <c r="E12" s="17"/>
      <c r="F12" s="17"/>
      <c r="G12" s="17"/>
      <c r="H12" s="17"/>
      <c r="I12" s="16" t="s">
        <v>949</v>
      </c>
      <c r="J12" s="18"/>
    </row>
    <row r="13" spans="1:10">
      <c r="A13" s="27"/>
      <c r="B13" s="16" t="s">
        <v>950</v>
      </c>
      <c r="C13" s="19"/>
      <c r="D13" s="19" t="s">
        <v>668</v>
      </c>
      <c r="E13" s="19"/>
      <c r="F13" s="19"/>
      <c r="G13" s="19"/>
      <c r="H13" s="19"/>
      <c r="I13" s="16" t="s">
        <v>950</v>
      </c>
      <c r="J13" s="18"/>
    </row>
    <row r="14" spans="1:10">
      <c r="A14" s="27"/>
      <c r="B14" s="16" t="s">
        <v>951</v>
      </c>
      <c r="C14" s="17">
        <v>0</v>
      </c>
      <c r="D14" s="17"/>
      <c r="E14" s="17"/>
      <c r="F14" s="17"/>
      <c r="G14" s="17"/>
      <c r="H14" s="17"/>
      <c r="I14" s="16" t="s">
        <v>951</v>
      </c>
      <c r="J14" s="18"/>
    </row>
    <row r="15" spans="1:10">
      <c r="A15" s="27"/>
      <c r="B15" s="16" t="s">
        <v>952</v>
      </c>
      <c r="C15" s="17">
        <v>0</v>
      </c>
      <c r="D15" s="17"/>
      <c r="E15" s="17"/>
      <c r="F15" s="17"/>
      <c r="G15" s="17"/>
      <c r="H15" s="17"/>
      <c r="I15" s="16" t="s">
        <v>952</v>
      </c>
      <c r="J15" s="18"/>
    </row>
    <row r="16" spans="1:10">
      <c r="A16" s="27">
        <v>5</v>
      </c>
      <c r="B16" s="16" t="s">
        <v>953</v>
      </c>
      <c r="C16" s="17">
        <v>0</v>
      </c>
      <c r="D16" s="17"/>
      <c r="E16" s="17"/>
      <c r="F16" s="17"/>
      <c r="G16" s="17"/>
      <c r="H16" s="17"/>
      <c r="I16" s="16" t="s">
        <v>953</v>
      </c>
      <c r="J16" s="18"/>
    </row>
    <row r="17" spans="1:10">
      <c r="A17" s="27">
        <v>6</v>
      </c>
      <c r="B17" s="16" t="s">
        <v>954</v>
      </c>
      <c r="C17" s="17">
        <v>0</v>
      </c>
      <c r="D17" s="17"/>
      <c r="E17" s="17"/>
      <c r="F17" s="17"/>
      <c r="G17" s="17"/>
      <c r="H17" s="17"/>
      <c r="I17" s="16" t="s">
        <v>954</v>
      </c>
      <c r="J17" s="18">
        <v>5</v>
      </c>
    </row>
    <row r="18" spans="1:10">
      <c r="A18" s="27">
        <v>7</v>
      </c>
      <c r="B18" s="16" t="s">
        <v>955</v>
      </c>
      <c r="C18" s="17">
        <v>0</v>
      </c>
      <c r="D18" s="17"/>
      <c r="E18" s="17"/>
      <c r="F18" s="17"/>
      <c r="G18" s="17"/>
      <c r="H18" s="17"/>
      <c r="I18" s="16" t="s">
        <v>955</v>
      </c>
      <c r="J18" s="18">
        <v>6</v>
      </c>
    </row>
    <row r="19" spans="1:10">
      <c r="A19" s="27">
        <v>8</v>
      </c>
      <c r="B19" s="16" t="s">
        <v>956</v>
      </c>
      <c r="C19" s="17">
        <v>0</v>
      </c>
      <c r="D19" s="17"/>
      <c r="E19" s="17"/>
      <c r="F19" s="17"/>
      <c r="G19" s="17"/>
      <c r="H19" s="17"/>
      <c r="I19" s="16" t="s">
        <v>956</v>
      </c>
      <c r="J19" s="18">
        <v>7</v>
      </c>
    </row>
    <row r="20" spans="1:10">
      <c r="A20" s="27">
        <v>9</v>
      </c>
      <c r="B20" s="16" t="s">
        <v>957</v>
      </c>
      <c r="C20" s="17">
        <v>0</v>
      </c>
      <c r="D20" s="17"/>
      <c r="E20" s="17"/>
      <c r="F20" s="17"/>
      <c r="G20" s="17"/>
      <c r="H20" s="17"/>
      <c r="I20" s="16" t="s">
        <v>957</v>
      </c>
      <c r="J20" s="18">
        <v>8</v>
      </c>
    </row>
    <row r="21" spans="1:10">
      <c r="A21" s="27">
        <v>10</v>
      </c>
      <c r="B21" s="16" t="s">
        <v>958</v>
      </c>
      <c r="C21" s="17">
        <v>0</v>
      </c>
      <c r="D21" s="17"/>
      <c r="E21" s="17"/>
      <c r="F21" s="17"/>
      <c r="G21" s="17"/>
      <c r="H21" s="17"/>
      <c r="I21" s="16" t="s">
        <v>958</v>
      </c>
      <c r="J21" s="18">
        <v>9</v>
      </c>
    </row>
    <row r="22" spans="1:10">
      <c r="A22" s="27">
        <v>11</v>
      </c>
      <c r="B22" s="16" t="s">
        <v>82</v>
      </c>
      <c r="C22" s="17">
        <v>0</v>
      </c>
      <c r="D22" s="17"/>
      <c r="E22" s="17"/>
      <c r="F22" s="17"/>
      <c r="G22" s="17"/>
      <c r="H22" s="17"/>
      <c r="I22" s="16" t="s">
        <v>82</v>
      </c>
      <c r="J22" s="18">
        <v>10</v>
      </c>
    </row>
    <row r="23" spans="1:10">
      <c r="A23" s="27">
        <v>12</v>
      </c>
      <c r="B23" s="16" t="s">
        <v>959</v>
      </c>
      <c r="C23" s="19"/>
      <c r="D23" s="19"/>
      <c r="E23" s="19"/>
      <c r="F23" s="19"/>
      <c r="G23" s="19"/>
      <c r="H23" s="19"/>
      <c r="I23" s="16" t="s">
        <v>959</v>
      </c>
      <c r="J23" s="18">
        <v>11</v>
      </c>
    </row>
    <row r="24" spans="1:10">
      <c r="A24" s="27"/>
      <c r="B24" s="16" t="s">
        <v>960</v>
      </c>
      <c r="C24" s="17">
        <v>0</v>
      </c>
      <c r="D24" s="17"/>
      <c r="E24" s="17"/>
      <c r="F24" s="17"/>
      <c r="G24" s="17"/>
      <c r="H24" s="17"/>
      <c r="I24" s="16" t="s">
        <v>960</v>
      </c>
      <c r="J24" s="18"/>
    </row>
    <row r="25" spans="1:10">
      <c r="A25" s="27"/>
      <c r="B25" s="16" t="s">
        <v>961</v>
      </c>
      <c r="C25" s="17">
        <v>0</v>
      </c>
      <c r="D25" s="17"/>
      <c r="E25" s="17"/>
      <c r="F25" s="17"/>
      <c r="G25" s="17"/>
      <c r="H25" s="17"/>
      <c r="I25" s="16" t="s">
        <v>961</v>
      </c>
      <c r="J25" s="18"/>
    </row>
    <row r="26" spans="1:10">
      <c r="A26" s="27">
        <v>13</v>
      </c>
      <c r="B26" s="16" t="s">
        <v>962</v>
      </c>
      <c r="C26" s="19">
        <v>0</v>
      </c>
      <c r="D26" s="19"/>
      <c r="E26" s="19"/>
      <c r="F26" s="19"/>
      <c r="G26" s="19"/>
      <c r="H26" s="19"/>
      <c r="I26" s="16" t="s">
        <v>962</v>
      </c>
      <c r="J26" s="18">
        <v>12</v>
      </c>
    </row>
    <row r="27" spans="1:10">
      <c r="A27" s="27"/>
      <c r="B27" s="16" t="s">
        <v>960</v>
      </c>
      <c r="C27" s="17">
        <v>0</v>
      </c>
      <c r="D27" s="17"/>
      <c r="E27" s="17"/>
      <c r="F27" s="17"/>
      <c r="G27" s="17"/>
      <c r="H27" s="17"/>
      <c r="I27" s="16" t="s">
        <v>960</v>
      </c>
      <c r="J27" s="18"/>
    </row>
    <row r="28" spans="1:10">
      <c r="A28" s="27"/>
      <c r="B28" s="16" t="s">
        <v>961</v>
      </c>
      <c r="C28" s="17">
        <v>0</v>
      </c>
      <c r="D28" s="17"/>
      <c r="E28" s="17"/>
      <c r="F28" s="17"/>
      <c r="G28" s="17"/>
      <c r="H28" s="17"/>
      <c r="I28" s="16" t="s">
        <v>961</v>
      </c>
      <c r="J28" s="18"/>
    </row>
    <row r="29" spans="1:10">
      <c r="A29" s="27">
        <v>14</v>
      </c>
      <c r="B29" s="16" t="s">
        <v>963</v>
      </c>
      <c r="C29" s="19"/>
      <c r="D29" s="19"/>
      <c r="E29" s="19"/>
      <c r="F29" s="19"/>
      <c r="G29" s="19"/>
      <c r="H29" s="19"/>
      <c r="I29" s="16" t="s">
        <v>963</v>
      </c>
      <c r="J29" s="18">
        <v>13</v>
      </c>
    </row>
    <row r="30" spans="1:10">
      <c r="A30" s="27"/>
      <c r="B30" s="16" t="s">
        <v>964</v>
      </c>
      <c r="C30" s="17">
        <v>0</v>
      </c>
      <c r="D30" s="17"/>
      <c r="E30" s="17"/>
      <c r="F30" s="17"/>
      <c r="G30" s="17"/>
      <c r="H30" s="17"/>
      <c r="I30" s="16" t="s">
        <v>964</v>
      </c>
      <c r="J30" s="18"/>
    </row>
    <row r="31" spans="1:10">
      <c r="A31" s="27"/>
      <c r="B31" s="16" t="s">
        <v>965</v>
      </c>
      <c r="C31" s="17">
        <v>0</v>
      </c>
      <c r="D31" s="17"/>
      <c r="E31" s="17"/>
      <c r="F31" s="17"/>
      <c r="G31" s="17"/>
      <c r="H31" s="17"/>
      <c r="I31" s="16" t="s">
        <v>965</v>
      </c>
      <c r="J31" s="18"/>
    </row>
    <row r="32" spans="1:10">
      <c r="A32" s="27">
        <v>15</v>
      </c>
      <c r="B32" s="16" t="s">
        <v>966</v>
      </c>
      <c r="C32" s="19"/>
      <c r="D32" s="19"/>
      <c r="E32" s="19"/>
      <c r="F32" s="19"/>
      <c r="G32" s="19"/>
      <c r="H32" s="19"/>
      <c r="I32" s="16" t="s">
        <v>966</v>
      </c>
      <c r="J32" s="18"/>
    </row>
    <row r="33" spans="1:10">
      <c r="A33" s="27"/>
      <c r="B33" s="16" t="s">
        <v>967</v>
      </c>
      <c r="C33" s="17">
        <v>0</v>
      </c>
      <c r="D33" s="17"/>
      <c r="E33" s="17"/>
      <c r="F33" s="17"/>
      <c r="G33" s="17"/>
      <c r="H33" s="17"/>
      <c r="I33" s="16" t="s">
        <v>967</v>
      </c>
      <c r="J33" s="18">
        <v>14</v>
      </c>
    </row>
    <row r="34" spans="1:10">
      <c r="A34" s="27"/>
      <c r="B34" s="16" t="s">
        <v>968</v>
      </c>
      <c r="C34" s="17">
        <v>0</v>
      </c>
      <c r="D34" s="17"/>
      <c r="E34" s="17"/>
      <c r="F34" s="17"/>
      <c r="G34" s="17"/>
      <c r="H34" s="17"/>
      <c r="I34" s="16" t="s">
        <v>968</v>
      </c>
      <c r="J34" s="18"/>
    </row>
    <row r="35" spans="1:10">
      <c r="A35" s="27"/>
      <c r="B35" s="16" t="s">
        <v>969</v>
      </c>
      <c r="C35" s="17">
        <v>0</v>
      </c>
      <c r="D35" s="17"/>
      <c r="E35" s="17"/>
      <c r="F35" s="17"/>
      <c r="G35" s="17"/>
      <c r="H35" s="17"/>
      <c r="I35" s="16" t="s">
        <v>969</v>
      </c>
      <c r="J35" s="18"/>
    </row>
    <row r="36" spans="1:10">
      <c r="A36" s="27">
        <v>16</v>
      </c>
      <c r="B36" s="16" t="s">
        <v>970</v>
      </c>
      <c r="C36" s="17">
        <v>0</v>
      </c>
      <c r="D36" s="17"/>
      <c r="E36" s="17"/>
      <c r="F36" s="17"/>
      <c r="G36" s="17"/>
      <c r="H36" s="17"/>
      <c r="I36" s="16" t="s">
        <v>970</v>
      </c>
      <c r="J36" s="18">
        <v>15</v>
      </c>
    </row>
    <row r="37" spans="1:10">
      <c r="A37" s="27">
        <v>17</v>
      </c>
      <c r="B37" s="16" t="s">
        <v>971</v>
      </c>
      <c r="C37" s="19"/>
      <c r="D37" s="19"/>
      <c r="E37" s="19"/>
      <c r="F37" s="19"/>
      <c r="G37" s="19"/>
      <c r="H37" s="19"/>
      <c r="I37" s="16" t="s">
        <v>971</v>
      </c>
      <c r="J37" s="18">
        <v>16</v>
      </c>
    </row>
    <row r="38" spans="1:10">
      <c r="A38" s="27"/>
      <c r="B38" s="16" t="s">
        <v>972</v>
      </c>
      <c r="C38" s="17">
        <v>0</v>
      </c>
      <c r="D38" s="17"/>
      <c r="E38" s="17"/>
      <c r="F38" s="17"/>
      <c r="G38" s="17"/>
      <c r="H38" s="17"/>
      <c r="I38" s="16" t="s">
        <v>972</v>
      </c>
      <c r="J38" s="18"/>
    </row>
    <row r="39" spans="1:10">
      <c r="A39" s="27"/>
      <c r="B39" s="16" t="s">
        <v>973</v>
      </c>
      <c r="C39" s="17">
        <v>0</v>
      </c>
      <c r="D39" s="17"/>
      <c r="E39" s="17"/>
      <c r="F39" s="17"/>
      <c r="G39" s="17"/>
      <c r="H39" s="17"/>
      <c r="I39" s="16" t="s">
        <v>973</v>
      </c>
      <c r="J39" s="18"/>
    </row>
    <row r="40" spans="1:10">
      <c r="A40" s="27">
        <v>18</v>
      </c>
      <c r="B40" s="16" t="s">
        <v>974</v>
      </c>
      <c r="C40" s="17">
        <v>0</v>
      </c>
      <c r="D40" s="17"/>
      <c r="E40" s="17"/>
      <c r="F40" s="17"/>
      <c r="G40" s="17"/>
      <c r="H40" s="17"/>
      <c r="I40" s="16" t="s">
        <v>974</v>
      </c>
      <c r="J40" s="18">
        <v>17</v>
      </c>
    </row>
    <row r="41" spans="1:10">
      <c r="A41" s="27">
        <v>19</v>
      </c>
      <c r="B41" s="16" t="s">
        <v>975</v>
      </c>
      <c r="C41" s="17">
        <v>0</v>
      </c>
      <c r="D41" s="17"/>
      <c r="E41" s="17"/>
      <c r="F41" s="17"/>
      <c r="G41" s="17"/>
      <c r="H41" s="17"/>
      <c r="I41" s="16" t="s">
        <v>975</v>
      </c>
      <c r="J41" s="18">
        <v>18</v>
      </c>
    </row>
    <row r="42" spans="1:10">
      <c r="A42" s="27">
        <v>20</v>
      </c>
      <c r="B42" s="16" t="s">
        <v>976</v>
      </c>
      <c r="C42" s="19"/>
      <c r="D42" s="19"/>
      <c r="E42" s="19"/>
      <c r="F42" s="19"/>
      <c r="G42" s="19"/>
      <c r="H42" s="19"/>
      <c r="I42" s="16" t="s">
        <v>976</v>
      </c>
      <c r="J42" s="18">
        <v>19</v>
      </c>
    </row>
    <row r="43" spans="1:10">
      <c r="A43" s="27"/>
      <c r="B43" s="16" t="s">
        <v>977</v>
      </c>
      <c r="C43" s="17">
        <v>0</v>
      </c>
      <c r="D43" s="17"/>
      <c r="E43" s="17"/>
      <c r="F43" s="17"/>
      <c r="G43" s="17"/>
      <c r="H43" s="17"/>
      <c r="I43" s="16" t="s">
        <v>977</v>
      </c>
      <c r="J43" s="18"/>
    </row>
    <row r="44" spans="1:10">
      <c r="A44" s="27"/>
      <c r="B44" s="16" t="s">
        <v>978</v>
      </c>
      <c r="C44" s="17">
        <v>0</v>
      </c>
      <c r="D44" s="17"/>
      <c r="E44" s="17"/>
      <c r="F44" s="17"/>
      <c r="G44" s="17"/>
      <c r="H44" s="17"/>
      <c r="I44" s="16" t="s">
        <v>978</v>
      </c>
      <c r="J44" s="18"/>
    </row>
    <row r="45" spans="1:10">
      <c r="A45" s="27"/>
      <c r="B45" s="16" t="s">
        <v>979</v>
      </c>
      <c r="C45" s="17">
        <v>0</v>
      </c>
      <c r="D45" s="17"/>
      <c r="E45" s="17"/>
      <c r="F45" s="17"/>
      <c r="G45" s="17"/>
      <c r="H45" s="17"/>
      <c r="I45" s="16" t="s">
        <v>979</v>
      </c>
      <c r="J45" s="18"/>
    </row>
    <row r="46" spans="1:10">
      <c r="A46" s="27">
        <v>21</v>
      </c>
      <c r="B46" s="16" t="s">
        <v>980</v>
      </c>
      <c r="C46" s="17">
        <v>0</v>
      </c>
      <c r="D46" s="17"/>
      <c r="E46" s="17"/>
      <c r="F46" s="17"/>
      <c r="G46" s="17"/>
      <c r="H46" s="17"/>
      <c r="I46" s="16" t="s">
        <v>980</v>
      </c>
      <c r="J46" s="18">
        <v>20</v>
      </c>
    </row>
    <row r="47" spans="1:10">
      <c r="A47" s="27">
        <v>22</v>
      </c>
      <c r="B47" s="16" t="s">
        <v>981</v>
      </c>
      <c r="C47" s="17">
        <v>0</v>
      </c>
      <c r="D47" s="17"/>
      <c r="E47" s="17"/>
      <c r="F47" s="17"/>
      <c r="G47" s="17"/>
      <c r="H47" s="17"/>
      <c r="I47" s="16" t="s">
        <v>981</v>
      </c>
      <c r="J47" s="18"/>
    </row>
    <row r="48" spans="1:10">
      <c r="A48" s="27">
        <v>23</v>
      </c>
      <c r="B48" s="16" t="s">
        <v>982</v>
      </c>
      <c r="C48" s="19"/>
      <c r="D48" s="19"/>
      <c r="E48" s="19"/>
      <c r="F48" s="19"/>
      <c r="G48" s="19"/>
      <c r="H48" s="19"/>
      <c r="I48" s="16" t="s">
        <v>983</v>
      </c>
      <c r="J48" s="18">
        <v>22</v>
      </c>
    </row>
    <row r="49" spans="1:10">
      <c r="A49" s="27"/>
      <c r="B49" s="16" t="s">
        <v>984</v>
      </c>
      <c r="C49" s="17">
        <v>0</v>
      </c>
      <c r="D49" s="17"/>
      <c r="E49" s="17"/>
      <c r="F49" s="17"/>
      <c r="G49" s="17"/>
      <c r="H49" s="17"/>
      <c r="I49" s="16" t="s">
        <v>984</v>
      </c>
      <c r="J49" s="18"/>
    </row>
    <row r="50" spans="1:10">
      <c r="A50" s="27"/>
      <c r="B50" s="16" t="s">
        <v>985</v>
      </c>
      <c r="C50" s="17">
        <v>0</v>
      </c>
      <c r="D50" s="17"/>
      <c r="E50" s="17"/>
      <c r="F50" s="17"/>
      <c r="G50" s="17"/>
      <c r="H50" s="17"/>
      <c r="I50" s="16" t="s">
        <v>985</v>
      </c>
      <c r="J50" s="18"/>
    </row>
    <row r="51" spans="1:10">
      <c r="A51" s="27">
        <v>24</v>
      </c>
      <c r="B51" s="16" t="s">
        <v>986</v>
      </c>
      <c r="C51" s="17">
        <v>0</v>
      </c>
      <c r="D51" s="17"/>
      <c r="E51" s="17"/>
      <c r="F51" s="17"/>
      <c r="G51" s="17"/>
      <c r="H51" s="17"/>
      <c r="I51" s="16" t="s">
        <v>986</v>
      </c>
      <c r="J51" s="18"/>
    </row>
    <row r="52" spans="1:10">
      <c r="A52" s="27">
        <v>25</v>
      </c>
      <c r="B52" s="16" t="s">
        <v>987</v>
      </c>
      <c r="C52" s="19"/>
      <c r="D52" s="19"/>
      <c r="E52" s="19"/>
      <c r="F52" s="19"/>
      <c r="G52" s="19"/>
      <c r="H52" s="19"/>
      <c r="I52" s="16" t="s">
        <v>987</v>
      </c>
      <c r="J52" s="18">
        <v>24</v>
      </c>
    </row>
    <row r="53" spans="1:10">
      <c r="A53" s="27"/>
      <c r="B53" s="16" t="s">
        <v>988</v>
      </c>
      <c r="C53" s="17">
        <v>0</v>
      </c>
      <c r="D53" s="17"/>
      <c r="E53" s="17"/>
      <c r="F53" s="17"/>
      <c r="G53" s="17"/>
      <c r="H53" s="17"/>
      <c r="I53" s="16" t="s">
        <v>988</v>
      </c>
      <c r="J53" s="18"/>
    </row>
    <row r="54" spans="1:10">
      <c r="A54" s="27"/>
      <c r="B54" s="16" t="s">
        <v>989</v>
      </c>
      <c r="C54" s="17">
        <v>0</v>
      </c>
      <c r="D54" s="17"/>
      <c r="E54" s="17"/>
      <c r="F54" s="17"/>
      <c r="G54" s="17"/>
      <c r="H54" s="17"/>
      <c r="I54" s="16" t="s">
        <v>989</v>
      </c>
      <c r="J54" s="18"/>
    </row>
    <row r="55" spans="1:10">
      <c r="A55" s="27">
        <v>26</v>
      </c>
      <c r="B55" s="16" t="s">
        <v>990</v>
      </c>
      <c r="C55" s="17">
        <v>0</v>
      </c>
      <c r="D55" s="17"/>
      <c r="E55" s="17"/>
      <c r="F55" s="17"/>
      <c r="G55" s="17"/>
      <c r="H55" s="17"/>
      <c r="I55" s="16" t="s">
        <v>990</v>
      </c>
      <c r="J55" s="18">
        <v>25</v>
      </c>
    </row>
    <row r="56" spans="1:10" ht="12" thickBot="1">
      <c r="A56" s="20"/>
      <c r="B56" s="28" t="s">
        <v>991</v>
      </c>
      <c r="C56" s="29">
        <v>0</v>
      </c>
      <c r="D56" s="29"/>
      <c r="E56" s="29"/>
      <c r="F56" s="29"/>
      <c r="G56" s="29"/>
      <c r="H56" s="29"/>
      <c r="I56" s="28" t="s">
        <v>991</v>
      </c>
      <c r="J56" s="30"/>
    </row>
  </sheetData>
  <sheetProtection password="82E9" sheet="1" objects="1" scenarios="1"/>
  <customSheetViews>
    <customSheetView guid="{504CC784-4394-4648-B9CE-DFC32001696E}" state="hidden" showRuler="0">
      <selection activeCell="B11" sqref="B11"/>
      <pageMargins left="0" right="0" top="0" bottom="0" header="0" footer="0"/>
      <printOptions horizontalCentered="1" verticalCentered="1"/>
      <pageSetup scale="87" orientation="landscape" r:id="rId1"/>
      <headerFooter alignWithMargins="0"/>
    </customSheetView>
  </customSheetViews>
  <phoneticPr fontId="22" type="noConversion"/>
  <printOptions horizontalCentered="1" verticalCentered="1"/>
  <pageMargins left="0.25" right="0.25" top="0.18" bottom="0.24" header="0.17" footer="0.21"/>
  <pageSetup scale="87" orientation="landscape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77" r:id="rId5" name="Button 1">
              <controlPr defaultSize="0" print="0" autoFill="0" autoPict="0" macro="[0]!rbc">
                <anchor>
                  <from>
                    <xdr:col>1</xdr:col>
                    <xdr:colOff>657225</xdr:colOff>
                    <xdr:row>0</xdr:row>
                    <xdr:rowOff>0</xdr:rowOff>
                  </from>
                  <to>
                    <xdr:col>1</xdr:col>
                    <xdr:colOff>1781175</xdr:colOff>
                    <xdr:row>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8" r:id="rId6" name="Button 2">
              <controlPr defaultSize="0" print="0" autoFill="0" autoPict="0" macro="[0]!navigate">
                <anchor>
                  <from>
                    <xdr:col>1</xdr:col>
                    <xdr:colOff>1819275</xdr:colOff>
                    <xdr:row>0</xdr:row>
                    <xdr:rowOff>0</xdr:rowOff>
                  </from>
                  <to>
                    <xdr:col>2</xdr:col>
                    <xdr:colOff>266700</xdr:colOff>
                    <xdr:row>1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FFBDB-53DD-4D99-AFEF-FA1AD2B50EB1}">
  <sheetPr codeName="Sheet26"/>
  <dimension ref="A2:H19"/>
  <sheetViews>
    <sheetView workbookViewId="0">
      <selection activeCell="F18" sqref="F18"/>
    </sheetView>
  </sheetViews>
  <sheetFormatPr defaultRowHeight="12.75"/>
  <cols>
    <col min="1" max="1" width="16.7109375" bestFit="1" customWidth="1"/>
    <col min="2" max="2" width="14.28515625" bestFit="1" customWidth="1"/>
    <col min="4" max="4" width="13.7109375" customWidth="1"/>
    <col min="8" max="8" width="16.7109375" bestFit="1" customWidth="1"/>
  </cols>
  <sheetData>
    <row r="2" spans="1:6">
      <c r="A2" t="s">
        <v>992</v>
      </c>
      <c r="B2" t="e">
        <f>#REF!</f>
        <v>#REF!</v>
      </c>
      <c r="E2" t="s">
        <v>993</v>
      </c>
      <c r="F2" t="s">
        <v>994</v>
      </c>
    </row>
    <row r="3" spans="1:6">
      <c r="A3" t="s">
        <v>995</v>
      </c>
      <c r="B3" t="e">
        <f>VLOOKUP(MONTH(#REF!),Sheet1!$E$3:$F$14,2,FALSE)</f>
        <v>#REF!</v>
      </c>
      <c r="E3">
        <v>1</v>
      </c>
      <c r="F3" t="s">
        <v>996</v>
      </c>
    </row>
    <row r="4" spans="1:6">
      <c r="A4" t="s">
        <v>997</v>
      </c>
      <c r="B4" t="e">
        <f>YEAR(#REF!)</f>
        <v>#REF!</v>
      </c>
      <c r="E4">
        <v>2</v>
      </c>
      <c r="F4" t="s">
        <v>998</v>
      </c>
    </row>
    <row r="5" spans="1:6">
      <c r="A5" t="s">
        <v>999</v>
      </c>
      <c r="B5" s="86" t="e">
        <f>#REF!</f>
        <v>#REF!</v>
      </c>
      <c r="E5">
        <v>3</v>
      </c>
      <c r="F5" t="s">
        <v>1000</v>
      </c>
    </row>
    <row r="6" spans="1:6">
      <c r="A6" t="s">
        <v>1001</v>
      </c>
      <c r="B6" t="e">
        <f>#REF!</f>
        <v>#REF!</v>
      </c>
      <c r="E6">
        <v>4</v>
      </c>
      <c r="F6" t="s">
        <v>1002</v>
      </c>
    </row>
    <row r="7" spans="1:6">
      <c r="A7" s="31" t="s">
        <v>33</v>
      </c>
      <c r="B7" t="e">
        <f>#REF!</f>
        <v>#REF!</v>
      </c>
      <c r="E7">
        <v>5</v>
      </c>
      <c r="F7" t="s">
        <v>1003</v>
      </c>
    </row>
    <row r="8" spans="1:6">
      <c r="A8" s="31" t="s">
        <v>34</v>
      </c>
      <c r="B8" t="e">
        <f>#REF!</f>
        <v>#REF!</v>
      </c>
      <c r="E8">
        <v>6</v>
      </c>
      <c r="F8" t="s">
        <v>1004</v>
      </c>
    </row>
    <row r="9" spans="1:6">
      <c r="A9" s="31" t="s">
        <v>35</v>
      </c>
      <c r="B9" t="e">
        <f>#REF!</f>
        <v>#REF!</v>
      </c>
      <c r="E9">
        <v>7</v>
      </c>
      <c r="F9" t="s">
        <v>1005</v>
      </c>
    </row>
    <row r="10" spans="1:6">
      <c r="E10">
        <v>8</v>
      </c>
      <c r="F10" t="s">
        <v>1006</v>
      </c>
    </row>
    <row r="11" spans="1:6">
      <c r="E11">
        <v>9</v>
      </c>
      <c r="F11" t="s">
        <v>1007</v>
      </c>
    </row>
    <row r="12" spans="1:6">
      <c r="E12">
        <v>10</v>
      </c>
      <c r="F12" t="s">
        <v>1008</v>
      </c>
    </row>
    <row r="13" spans="1:6">
      <c r="E13">
        <v>11</v>
      </c>
      <c r="F13" t="s">
        <v>1009</v>
      </c>
    </row>
    <row r="14" spans="1:6">
      <c r="E14">
        <v>12</v>
      </c>
      <c r="F14" t="s">
        <v>1010</v>
      </c>
    </row>
    <row r="18" spans="1:8">
      <c r="A18" t="s">
        <v>992</v>
      </c>
      <c r="B18" t="s">
        <v>995</v>
      </c>
      <c r="C18" t="s">
        <v>997</v>
      </c>
      <c r="D18" t="s">
        <v>999</v>
      </c>
      <c r="E18" t="s">
        <v>1001</v>
      </c>
      <c r="F18" s="31" t="s">
        <v>33</v>
      </c>
      <c r="G18" s="31" t="s">
        <v>34</v>
      </c>
      <c r="H18" s="31" t="s">
        <v>35</v>
      </c>
    </row>
    <row r="19" spans="1:8">
      <c r="A19" t="e">
        <f>B2</f>
        <v>#REF!</v>
      </c>
      <c r="B19" t="e">
        <f>B3</f>
        <v>#REF!</v>
      </c>
      <c r="C19" t="e">
        <f>B4</f>
        <v>#REF!</v>
      </c>
      <c r="D19" s="86" t="e">
        <f>B5</f>
        <v>#REF!</v>
      </c>
      <c r="E19" t="e">
        <f>B6</f>
        <v>#REF!</v>
      </c>
      <c r="F19" t="e">
        <f>B7</f>
        <v>#REF!</v>
      </c>
      <c r="G19" t="e">
        <f>B8</f>
        <v>#REF!</v>
      </c>
      <c r="H19" t="e">
        <f>B9</f>
        <v>#REF!</v>
      </c>
    </row>
  </sheetData>
  <customSheetViews>
    <customSheetView guid="{504CC784-4394-4648-B9CE-DFC32001696E}" state="hidden" showRuler="0">
      <selection activeCell="F18" sqref="F18"/>
      <pageMargins left="0" right="0" top="0" bottom="0" header="0" footer="0"/>
      <headerFooter alignWithMargins="0"/>
    </customSheetView>
  </customSheetViews>
  <phoneticPr fontId="2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9708EFC545CE4E8AB754FC7D2E6E91" ma:contentTypeVersion="14" ma:contentTypeDescription="Create a new document." ma:contentTypeScope="" ma:versionID="a704ac26cac48c865104bc5d65f21c5a">
  <xsd:schema xmlns:xsd="http://www.w3.org/2001/XMLSchema" xmlns:xs="http://www.w3.org/2001/XMLSchema" xmlns:p="http://schemas.microsoft.com/office/2006/metadata/properties" xmlns:ns2="50948a55-c824-4edd-8840-971c359cb35e" xmlns:ns3="f4252184-8bfc-4067-8590-680146e088be" targetNamespace="http://schemas.microsoft.com/office/2006/metadata/properties" ma:root="true" ma:fieldsID="3da085d6d4f1717b0cd645c964757fef" ns2:_="" ns3:_="">
    <xsd:import namespace="50948a55-c824-4edd-8840-971c359cb35e"/>
    <xsd:import namespace="f4252184-8bfc-4067-8590-680146e08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48a55-c824-4edd-8840-971c359cb3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7c47e3-23a7-4b40-92cf-b1f4ae2f4a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52184-8bfc-4067-8590-680146e088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c5e4f79-d0c2-4043-beaa-ab626164fe2b}" ma:internalName="TaxCatchAll" ma:showField="CatchAllData" ma:web="f4252184-8bfc-4067-8590-680146e08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B55DA3-2A42-48A7-928E-893183BEE191}"/>
</file>

<file path=customXml/itemProps2.xml><?xml version="1.0" encoding="utf-8"?>
<ds:datastoreItem xmlns:ds="http://schemas.openxmlformats.org/officeDocument/2006/customXml" ds:itemID="{07141D86-8150-481C-B672-E84671C349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SCCP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FINOP</dc:title>
  <dc:subject/>
  <dc:creator>hp</dc:creator>
  <cp:keywords/>
  <dc:description/>
  <cp:lastModifiedBy>X</cp:lastModifiedBy>
  <cp:revision/>
  <dcterms:created xsi:type="dcterms:W3CDTF">2001-05-30T07:40:01Z</dcterms:created>
  <dcterms:modified xsi:type="dcterms:W3CDTF">2024-09-12T06:50:03Z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</Properties>
</file>